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MEN\для меня\Для РЭК\Тарифы 2026\ЭТК\Информация для размещения\"/>
    </mc:Choice>
  </mc:AlternateContent>
  <xr:revisionPtr revIDLastSave="0" documentId="8_{2C55C062-22B4-4249-A8A9-61A6BE6A1D36}" xr6:coauthVersionLast="47" xr6:coauthVersionMax="47" xr10:uidLastSave="{00000000-0000-0000-0000-000000000000}"/>
  <bookViews>
    <workbookView xWindow="-120" yWindow="-120" windowWidth="29040" windowHeight="15840" xr2:uid="{04211257-0709-48A1-ACC6-0380A573754B}"/>
  </bookViews>
  <sheets>
    <sheet name="Лист1" sheetId="1" r:id="rId1"/>
  </sheets>
  <externalReferences>
    <externalReference r:id="rId2"/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F105" i="1" s="1"/>
  <c r="G105" i="1" s="1"/>
  <c r="H105" i="1" s="1"/>
  <c r="I105" i="1" s="1"/>
  <c r="F104" i="1"/>
  <c r="G104" i="1" s="1"/>
  <c r="H104" i="1" s="1"/>
  <c r="F103" i="1"/>
  <c r="G103" i="1" s="1"/>
  <c r="H103" i="1" s="1"/>
  <c r="I103" i="1" s="1"/>
  <c r="F102" i="1"/>
  <c r="G102" i="1" s="1"/>
  <c r="H102" i="1" s="1"/>
  <c r="I102" i="1" s="1"/>
  <c r="F100" i="1"/>
  <c r="F99" i="1"/>
  <c r="F97" i="1" s="1"/>
  <c r="I97" i="1"/>
  <c r="H97" i="1"/>
  <c r="G97" i="1"/>
  <c r="E97" i="1"/>
  <c r="F93" i="1"/>
  <c r="G93" i="1" s="1"/>
  <c r="H93" i="1" s="1"/>
  <c r="I93" i="1" s="1"/>
  <c r="F86" i="1"/>
  <c r="G86" i="1" s="1"/>
  <c r="H86" i="1" s="1"/>
  <c r="I86" i="1" s="1"/>
  <c r="F85" i="1"/>
  <c r="G85" i="1" s="1"/>
  <c r="H85" i="1" s="1"/>
  <c r="I85" i="1" s="1"/>
  <c r="F84" i="1"/>
  <c r="E84" i="1"/>
  <c r="E82" i="1"/>
  <c r="D82" i="1"/>
  <c r="F81" i="1"/>
  <c r="G81" i="1" s="1"/>
  <c r="H81" i="1" s="1"/>
  <c r="I81" i="1" s="1"/>
  <c r="G80" i="1"/>
  <c r="F80" i="1"/>
  <c r="F79" i="1" s="1"/>
  <c r="F78" i="1"/>
  <c r="G78" i="1" s="1"/>
  <c r="H78" i="1" s="1"/>
  <c r="I78" i="1" s="1"/>
  <c r="F77" i="1"/>
  <c r="F76" i="1" s="1"/>
  <c r="E77" i="1"/>
  <c r="E76" i="1" s="1"/>
  <c r="E95" i="1" s="1"/>
  <c r="D77" i="1"/>
  <c r="D76" i="1"/>
  <c r="I72" i="1"/>
  <c r="H72" i="1"/>
  <c r="G72" i="1"/>
  <c r="F72" i="1"/>
  <c r="E72" i="1"/>
  <c r="E51" i="1"/>
  <c r="D51" i="1"/>
  <c r="E47" i="1"/>
  <c r="D47" i="1"/>
  <c r="E43" i="1"/>
  <c r="D43" i="1"/>
  <c r="E41" i="1"/>
  <c r="D41" i="1"/>
  <c r="E38" i="1"/>
  <c r="D38" i="1"/>
  <c r="D37" i="1"/>
  <c r="E35" i="1"/>
  <c r="E36" i="1" s="1"/>
  <c r="D34" i="1"/>
  <c r="E32" i="1"/>
  <c r="E33" i="1" s="1"/>
  <c r="D31" i="1"/>
  <c r="E29" i="1"/>
  <c r="E30" i="1" s="1"/>
  <c r="D28" i="1"/>
  <c r="E27" i="1"/>
  <c r="E88" i="1" s="1"/>
  <c r="D27" i="1"/>
  <c r="D88" i="1" s="1"/>
  <c r="E25" i="1"/>
  <c r="E24" i="1" s="1"/>
  <c r="D25" i="1"/>
  <c r="D24" i="1" s="1"/>
  <c r="F17" i="1"/>
  <c r="F61" i="1" s="1"/>
  <c r="F16" i="1"/>
  <c r="G15" i="1"/>
  <c r="G16" i="1" s="1"/>
  <c r="G17" i="1" s="1"/>
  <c r="F11" i="1"/>
  <c r="G11" i="1" s="1"/>
  <c r="H11" i="1" s="1"/>
  <c r="I11" i="1" s="1"/>
  <c r="G79" i="1" l="1"/>
  <c r="D95" i="1"/>
  <c r="H15" i="1"/>
  <c r="H16" i="1" s="1"/>
  <c r="H17" i="1" s="1"/>
  <c r="H87" i="1" s="1"/>
  <c r="F35" i="1"/>
  <c r="G35" i="1" s="1"/>
  <c r="H35" i="1" s="1"/>
  <c r="I35" i="1" s="1"/>
  <c r="D74" i="1"/>
  <c r="D96" i="1" s="1"/>
  <c r="D101" i="1" s="1"/>
  <c r="D107" i="1" s="1"/>
  <c r="F32" i="1"/>
  <c r="G32" i="1" s="1"/>
  <c r="H32" i="1" s="1"/>
  <c r="I32" i="1" s="1"/>
  <c r="E37" i="1"/>
  <c r="E74" i="1" s="1"/>
  <c r="I104" i="1"/>
  <c r="I106" i="1" s="1"/>
  <c r="H106" i="1"/>
  <c r="G61" i="1"/>
  <c r="I15" i="1"/>
  <c r="I16" i="1" s="1"/>
  <c r="I17" i="1" s="1"/>
  <c r="I87" i="1" s="1"/>
  <c r="F29" i="1"/>
  <c r="G29" i="1" s="1"/>
  <c r="H29" i="1" s="1"/>
  <c r="I29" i="1" s="1"/>
  <c r="F46" i="1"/>
  <c r="G46" i="1" s="1"/>
  <c r="F52" i="1"/>
  <c r="F59" i="1"/>
  <c r="G59" i="1" s="1"/>
  <c r="H59" i="1" s="1"/>
  <c r="G77" i="1"/>
  <c r="F71" i="1"/>
  <c r="G71" i="1" s="1"/>
  <c r="F67" i="1"/>
  <c r="G67" i="1" s="1"/>
  <c r="H67" i="1" s="1"/>
  <c r="I67" i="1" s="1"/>
  <c r="F63" i="1"/>
  <c r="G63" i="1" s="1"/>
  <c r="F58" i="1"/>
  <c r="G58" i="1" s="1"/>
  <c r="F48" i="1"/>
  <c r="F45" i="1"/>
  <c r="G45" i="1" s="1"/>
  <c r="H45" i="1" s="1"/>
  <c r="I45" i="1" s="1"/>
  <c r="F42" i="1"/>
  <c r="F40" i="1"/>
  <c r="G40" i="1" s="1"/>
  <c r="F70" i="1"/>
  <c r="F66" i="1"/>
  <c r="G66" i="1" s="1"/>
  <c r="F62" i="1"/>
  <c r="G62" i="1" s="1"/>
  <c r="F57" i="1"/>
  <c r="G57" i="1" s="1"/>
  <c r="H57" i="1" s="1"/>
  <c r="F44" i="1"/>
  <c r="F39" i="1"/>
  <c r="F34" i="1"/>
  <c r="F49" i="1"/>
  <c r="G49" i="1" s="1"/>
  <c r="H49" i="1" s="1"/>
  <c r="F55" i="1"/>
  <c r="G55" i="1" s="1"/>
  <c r="H55" i="1" s="1"/>
  <c r="I55" i="1" s="1"/>
  <c r="F28" i="1"/>
  <c r="F54" i="1"/>
  <c r="G54" i="1" s="1"/>
  <c r="H54" i="1" s="1"/>
  <c r="F56" i="1"/>
  <c r="G56" i="1" s="1"/>
  <c r="H56" i="1" s="1"/>
  <c r="I56" i="1" s="1"/>
  <c r="F60" i="1"/>
  <c r="G60" i="1" s="1"/>
  <c r="F68" i="1"/>
  <c r="G68" i="1" s="1"/>
  <c r="F82" i="1"/>
  <c r="G87" i="1"/>
  <c r="F53" i="1"/>
  <c r="G53" i="1" s="1"/>
  <c r="F64" i="1"/>
  <c r="G64" i="1" s="1"/>
  <c r="G106" i="1"/>
  <c r="F26" i="1"/>
  <c r="F31" i="1"/>
  <c r="F50" i="1"/>
  <c r="G50" i="1" s="1"/>
  <c r="F65" i="1"/>
  <c r="G65" i="1" s="1"/>
  <c r="H65" i="1" s="1"/>
  <c r="H80" i="1"/>
  <c r="G84" i="1"/>
  <c r="F106" i="1"/>
  <c r="I59" i="1" l="1"/>
  <c r="I65" i="1"/>
  <c r="I49" i="1"/>
  <c r="H71" i="1"/>
  <c r="I71" i="1" s="1"/>
  <c r="H50" i="1"/>
  <c r="I50" i="1" s="1"/>
  <c r="H64" i="1"/>
  <c r="I64" i="1" s="1"/>
  <c r="H68" i="1"/>
  <c r="I68" i="1" s="1"/>
  <c r="H62" i="1"/>
  <c r="I62" i="1" s="1"/>
  <c r="H40" i="1"/>
  <c r="I40" i="1" s="1"/>
  <c r="H58" i="1"/>
  <c r="I58" i="1" s="1"/>
  <c r="F87" i="1"/>
  <c r="F95" i="1" s="1"/>
  <c r="H46" i="1"/>
  <c r="H61" i="1"/>
  <c r="I54" i="1"/>
  <c r="I57" i="1"/>
  <c r="H53" i="1"/>
  <c r="I53" i="1" s="1"/>
  <c r="H60" i="1"/>
  <c r="I60" i="1" s="1"/>
  <c r="H66" i="1"/>
  <c r="I66" i="1" s="1"/>
  <c r="H63" i="1"/>
  <c r="G26" i="1"/>
  <c r="F25" i="1"/>
  <c r="F24" i="1" s="1"/>
  <c r="F51" i="1"/>
  <c r="G52" i="1"/>
  <c r="E96" i="1"/>
  <c r="E101" i="1" s="1"/>
  <c r="F36" i="1"/>
  <c r="G34" i="1"/>
  <c r="F88" i="1"/>
  <c r="I46" i="1"/>
  <c r="I61" i="1"/>
  <c r="G82" i="1"/>
  <c r="H84" i="1"/>
  <c r="G39" i="1"/>
  <c r="F38" i="1"/>
  <c r="G42" i="1"/>
  <c r="I63" i="1"/>
  <c r="H77" i="1"/>
  <c r="G76" i="1"/>
  <c r="F47" i="1"/>
  <c r="G48" i="1"/>
  <c r="I80" i="1"/>
  <c r="I79" i="1" s="1"/>
  <c r="H79" i="1"/>
  <c r="F33" i="1"/>
  <c r="G31" i="1"/>
  <c r="G28" i="1"/>
  <c r="F27" i="1"/>
  <c r="F30" i="1"/>
  <c r="G44" i="1"/>
  <c r="F43" i="1"/>
  <c r="G70" i="1"/>
  <c r="F69" i="1"/>
  <c r="F41" i="1" l="1"/>
  <c r="H42" i="1"/>
  <c r="G69" i="1"/>
  <c r="H70" i="1"/>
  <c r="G95" i="1"/>
  <c r="I84" i="1"/>
  <c r="I82" i="1" s="1"/>
  <c r="H82" i="1"/>
  <c r="G27" i="1"/>
  <c r="G88" i="1" s="1"/>
  <c r="G30" i="1"/>
  <c r="H28" i="1"/>
  <c r="I77" i="1"/>
  <c r="I76" i="1" s="1"/>
  <c r="I95" i="1" s="1"/>
  <c r="H76" i="1"/>
  <c r="H95" i="1" s="1"/>
  <c r="F37" i="1"/>
  <c r="E107" i="1"/>
  <c r="F74" i="1"/>
  <c r="G43" i="1"/>
  <c r="H44" i="1"/>
  <c r="G33" i="1"/>
  <c r="H31" i="1"/>
  <c r="G47" i="1"/>
  <c r="H48" i="1"/>
  <c r="G38" i="1"/>
  <c r="H39" i="1"/>
  <c r="H34" i="1"/>
  <c r="G36" i="1"/>
  <c r="H52" i="1"/>
  <c r="G51" i="1"/>
  <c r="G25" i="1"/>
  <c r="G24" i="1" s="1"/>
  <c r="H26" i="1"/>
  <c r="G41" i="1" l="1"/>
  <c r="H36" i="1"/>
  <c r="I34" i="1"/>
  <c r="I36" i="1" s="1"/>
  <c r="I26" i="1"/>
  <c r="I25" i="1" s="1"/>
  <c r="I24" i="1" s="1"/>
  <c r="H25" i="1"/>
  <c r="H24" i="1" s="1"/>
  <c r="I48" i="1"/>
  <c r="I47" i="1" s="1"/>
  <c r="H47" i="1"/>
  <c r="H38" i="1"/>
  <c r="I39" i="1"/>
  <c r="I38" i="1" s="1"/>
  <c r="I31" i="1"/>
  <c r="I33" i="1" s="1"/>
  <c r="H33" i="1"/>
  <c r="H30" i="1"/>
  <c r="I28" i="1"/>
  <c r="H27" i="1"/>
  <c r="H88" i="1" s="1"/>
  <c r="I42" i="1"/>
  <c r="H43" i="1"/>
  <c r="I44" i="1"/>
  <c r="I43" i="1" s="1"/>
  <c r="H69" i="1"/>
  <c r="I70" i="1"/>
  <c r="I69" i="1" s="1"/>
  <c r="I52" i="1"/>
  <c r="I51" i="1" s="1"/>
  <c r="H51" i="1"/>
  <c r="G37" i="1"/>
  <c r="G74" i="1" s="1"/>
  <c r="G96" i="1" s="1"/>
  <c r="G101" i="1" s="1"/>
  <c r="G107" i="1" s="1"/>
  <c r="F96" i="1"/>
  <c r="F101" i="1" s="1"/>
  <c r="F107" i="1" s="1"/>
  <c r="H41" i="1" l="1"/>
  <c r="H37" i="1"/>
  <c r="I41" i="1"/>
  <c r="I37" i="1" s="1"/>
  <c r="I30" i="1"/>
  <c r="I27" i="1"/>
  <c r="I88" i="1" s="1"/>
  <c r="H74" i="1"/>
  <c r="H96" i="1" s="1"/>
  <c r="H101" i="1" s="1"/>
  <c r="H107" i="1" s="1"/>
  <c r="I74" i="1" l="1"/>
  <c r="I96" i="1" s="1"/>
  <c r="I101" i="1" s="1"/>
  <c r="I107" i="1" s="1"/>
</calcChain>
</file>

<file path=xl/sharedStrings.xml><?xml version="1.0" encoding="utf-8"?>
<sst xmlns="http://schemas.openxmlformats.org/spreadsheetml/2006/main" count="256" uniqueCount="175">
  <si>
    <t>Калькуляция расходов, связанных с передачей электроэнергии по сетям ООО "Электротехнический комплекс" на 2025-2029 годы</t>
  </si>
  <si>
    <t xml:space="preserve">Значения параметров расчета тарифов </t>
  </si>
  <si>
    <t xml:space="preserve"> № п/п</t>
  </si>
  <si>
    <t>Показатели</t>
  </si>
  <si>
    <t>Ед. изм.</t>
  </si>
  <si>
    <t>2025 (экономически обоснованный уровень)</t>
  </si>
  <si>
    <t>2025 (базовый уровень утверждено)</t>
  </si>
  <si>
    <t>Долгосрочные параметры (не меняются в течение долгосрочного периода регулирования)</t>
  </si>
  <si>
    <t>Индекс эффективности операционных расходов</t>
  </si>
  <si>
    <t>Коэффициент эластичности подконтрольных расходов по количеству активов</t>
  </si>
  <si>
    <t>Величина технологического расхода (потерь) электрической энергии</t>
  </si>
  <si>
    <t>%</t>
  </si>
  <si>
    <t>Максимальный процент корректировки НВВ (Пкорi)</t>
  </si>
  <si>
    <t>Планируемые значения параметров расчета тарифов (определяются перед началом каждого года долгосрочного периода регулирования)</t>
  </si>
  <si>
    <t>Индекс потребительских цен</t>
  </si>
  <si>
    <t>Количество активов</t>
  </si>
  <si>
    <t>у.е.</t>
  </si>
  <si>
    <t>Индекс изменения количества активов</t>
  </si>
  <si>
    <t>Итого коэффициент индексации</t>
  </si>
  <si>
    <t>Расчет подконтрольных и неподконтрольных расходов</t>
  </si>
  <si>
    <t>2025 (экономически обоснованный)</t>
  </si>
  <si>
    <t>1.</t>
  </si>
  <si>
    <t>Подконтрольные расходы</t>
  </si>
  <si>
    <t>1.1</t>
  </si>
  <si>
    <t>Материальные затраты</t>
  </si>
  <si>
    <t>тыс.руб.</t>
  </si>
  <si>
    <t>1.1.1</t>
  </si>
  <si>
    <t>Сырье, материалы, запасные части, инструменты</t>
  </si>
  <si>
    <t>1.1.1.1</t>
  </si>
  <si>
    <t>Канцелярские расходы, подписка и литература</t>
  </si>
  <si>
    <t>1.2</t>
  </si>
  <si>
    <t>Расходы на оплату труда</t>
  </si>
  <si>
    <t>1.2.1</t>
  </si>
  <si>
    <t>ФОТ Производственного персонала</t>
  </si>
  <si>
    <t>Численность ПП</t>
  </si>
  <si>
    <t>чел.</t>
  </si>
  <si>
    <t>Средняя заработная плата ПП</t>
  </si>
  <si>
    <t>руб.</t>
  </si>
  <si>
    <t>1.2.2</t>
  </si>
  <si>
    <t>ФОТ Общехозяйственного персонала</t>
  </si>
  <si>
    <t>Численность ОХР</t>
  </si>
  <si>
    <t>Средняя заработная плата ОХР</t>
  </si>
  <si>
    <t>1.2.3</t>
  </si>
  <si>
    <t>ФОТ Цехового персонала</t>
  </si>
  <si>
    <t>Численность ЦП</t>
  </si>
  <si>
    <t>Средняя заработная плата ЦП</t>
  </si>
  <si>
    <t>1.3</t>
  </si>
  <si>
    <t>Прочие расходы, всего, в том числе:</t>
  </si>
  <si>
    <t>1.3.1</t>
  </si>
  <si>
    <t>Ремонт основных фондов</t>
  </si>
  <si>
    <t>1.3.1.1</t>
  </si>
  <si>
    <t>сырье, материалы, запасные части</t>
  </si>
  <si>
    <t>1.3.1.2</t>
  </si>
  <si>
    <t xml:space="preserve">услуги сторонних ремонтных организаций </t>
  </si>
  <si>
    <t>1.3.2</t>
  </si>
  <si>
    <t>Оплата работ и услуг сторонних организаций</t>
  </si>
  <si>
    <t>1.3.2.1</t>
  </si>
  <si>
    <t>услуги связи</t>
  </si>
  <si>
    <t>1.3.2.2</t>
  </si>
  <si>
    <t>расходы на услуги вневедомственной охраны и коммунального хозяйства</t>
  </si>
  <si>
    <t>1.3.2.2.1</t>
  </si>
  <si>
    <t>услуги пожарной и вневедомственной охраны</t>
  </si>
  <si>
    <t>1.3.2.2.2</t>
  </si>
  <si>
    <t>прочие коммунальные услуги</t>
  </si>
  <si>
    <t>1.3.2.2.3</t>
  </si>
  <si>
    <t>прочие затраты на содержание зданий</t>
  </si>
  <si>
    <t>1.3.2.3</t>
  </si>
  <si>
    <t>расходы на юридические и информационные услуги</t>
  </si>
  <si>
    <t>1.3.2.3.1</t>
  </si>
  <si>
    <t>юридические услуги</t>
  </si>
  <si>
    <t>1.3.2.3.2</t>
  </si>
  <si>
    <t>информационные услуги</t>
  </si>
  <si>
    <t>1.3.2.4</t>
  </si>
  <si>
    <t>расходы на аудиторские и консультационные услуги</t>
  </si>
  <si>
    <t>1.3.2.5</t>
  </si>
  <si>
    <t>прочие услуги сторонних организаций</t>
  </si>
  <si>
    <t>1.3.2.5.1</t>
  </si>
  <si>
    <t>содержание и ремонт компьютерной и офисной техники</t>
  </si>
  <si>
    <t>1.3.2.5.2</t>
  </si>
  <si>
    <t>обслуживание транспорта (техосмотр, техобслуживание, шиномонтаж, проч расх по экспл.)</t>
  </si>
  <si>
    <t>1.3.2.5.3</t>
  </si>
  <si>
    <t>Оперативно-техническое обслуживание оборудования</t>
  </si>
  <si>
    <t>1.3.2.5.4</t>
  </si>
  <si>
    <t>Расходы на промбезопасность</t>
  </si>
  <si>
    <t>1.3.2.5.5</t>
  </si>
  <si>
    <t>Устройство мембранной кровли здания на Мира, 5б</t>
  </si>
  <si>
    <t>1.3.2.5.6</t>
  </si>
  <si>
    <t>прочие расходы</t>
  </si>
  <si>
    <t>1.3.3</t>
  </si>
  <si>
    <t xml:space="preserve">Расходы на командировки </t>
  </si>
  <si>
    <t>1.3.4</t>
  </si>
  <si>
    <t>Расходы на подготовку кадров</t>
  </si>
  <si>
    <t>1.3.5</t>
  </si>
  <si>
    <t>Расходы на обеспечение нормальных условий труда и мер по технике безопасности</t>
  </si>
  <si>
    <t>1.3.5.1</t>
  </si>
  <si>
    <t xml:space="preserve">предрейсовый медосмотр </t>
  </si>
  <si>
    <t>1.3.5.2</t>
  </si>
  <si>
    <t>медосмотры</t>
  </si>
  <si>
    <t>1.3.5.3</t>
  </si>
  <si>
    <t>спецодежда, спецобувь и средства защиты</t>
  </si>
  <si>
    <t>1.3.5.4</t>
  </si>
  <si>
    <t>производственный контроль 65 точек (59-рабочие места основных рабочих, 6- рабочие места общехоз.рабочих)</t>
  </si>
  <si>
    <t>1.3.5.5</t>
  </si>
  <si>
    <t>специальная оценка условий труда (оформление и проведение замеров  вредных производственных факторов)</t>
  </si>
  <si>
    <t>1.3.5.6</t>
  </si>
  <si>
    <t>1.3.6</t>
  </si>
  <si>
    <t xml:space="preserve">Расходы на страхование </t>
  </si>
  <si>
    <t>1.3.7</t>
  </si>
  <si>
    <t xml:space="preserve">Электроэнергия на хоз. технологические нужды </t>
  </si>
  <si>
    <t>1.3.8</t>
  </si>
  <si>
    <t>Другие прочие расходы</t>
  </si>
  <si>
    <t>1.3.8.1</t>
  </si>
  <si>
    <t>услуги банка</t>
  </si>
  <si>
    <t>1.3.8.2</t>
  </si>
  <si>
    <t xml:space="preserve">прочие услуги </t>
  </si>
  <si>
    <t>1.3.9</t>
  </si>
  <si>
    <t>Подконтрольные расходы из прибыли</t>
  </si>
  <si>
    <t>1.3.9.1</t>
  </si>
  <si>
    <t>расходы социального характера из прибыли</t>
  </si>
  <si>
    <t>ИТОГО подконтрольные расходы</t>
  </si>
  <si>
    <t>2.</t>
  </si>
  <si>
    <t>Неподконтрольные расходы</t>
  </si>
  <si>
    <t>2.1</t>
  </si>
  <si>
    <t>Плата за аренду имущества и лизинг</t>
  </si>
  <si>
    <t>2.1.1.</t>
  </si>
  <si>
    <t>аренда имущества (ОРУ, ЗРУ)</t>
  </si>
  <si>
    <t>2.1.2.</t>
  </si>
  <si>
    <t>прочие</t>
  </si>
  <si>
    <t>2.2</t>
  </si>
  <si>
    <t>Амортизация</t>
  </si>
  <si>
    <t>2.2.1</t>
  </si>
  <si>
    <t>ОПФ</t>
  </si>
  <si>
    <t>2.2.2</t>
  </si>
  <si>
    <t xml:space="preserve">прочая </t>
  </si>
  <si>
    <t>2.3</t>
  </si>
  <si>
    <t>Налоги</t>
  </si>
  <si>
    <t>2.3.1</t>
  </si>
  <si>
    <t>Налог на прибыль</t>
  </si>
  <si>
    <t>Плата за землю</t>
  </si>
  <si>
    <t>2.3.2</t>
  </si>
  <si>
    <t>Налог на имущество</t>
  </si>
  <si>
    <t>2.3.3</t>
  </si>
  <si>
    <t>Прочие налоги и сборы (транспортный налог)</t>
  </si>
  <si>
    <t>2.4</t>
  </si>
  <si>
    <t>Страховые взносы на ФОТ</t>
  </si>
  <si>
    <t>2.4.1</t>
  </si>
  <si>
    <t>Размер страховых взносов</t>
  </si>
  <si>
    <t>2.5</t>
  </si>
  <si>
    <t>Прочие неподконтрольные расходы</t>
  </si>
  <si>
    <t>2.6</t>
  </si>
  <si>
    <t>Выпадающие доходы/экономия средств по п. 87 Основ ценообразования</t>
  </si>
  <si>
    <t>2.7</t>
  </si>
  <si>
    <t>Прибыль на капитальные вложения</t>
  </si>
  <si>
    <t>2.8</t>
  </si>
  <si>
    <t>Проценты по кредитам</t>
  </si>
  <si>
    <t>2.9</t>
  </si>
  <si>
    <t xml:space="preserve">Резерв по сомнительным долгам </t>
  </si>
  <si>
    <t>2.10</t>
  </si>
  <si>
    <t>Налог на прибыль 2024 г.</t>
  </si>
  <si>
    <t>ИТОГО неподконтрольные расходы</t>
  </si>
  <si>
    <t>ИТОГО расходов на содержание сетей</t>
  </si>
  <si>
    <t>Расходы, связанные с компенсацией незапланированных расходов</t>
  </si>
  <si>
    <t>Выпадающие доходы/экономия средств по итогам предыдущих периодов</t>
  </si>
  <si>
    <t>Расходы долгосрочного периода регулирования, связанные с компенсацией незапланированных расходов (со знаком «+») или полученного избытка (со знаком «-»), выявленных по итогам последнего истекшего года долгосрочного периода регулирования Вi</t>
  </si>
  <si>
    <t>Корректировка с учетом надежности и качества</t>
  </si>
  <si>
    <t>ИТОГО НВВ на содержание сетей с учетом корректировки</t>
  </si>
  <si>
    <t>Полезный отпуск электроэнергии</t>
  </si>
  <si>
    <t>млн. кВт.ч</t>
  </si>
  <si>
    <t xml:space="preserve">Заявленная мощность </t>
  </si>
  <si>
    <t>МВт</t>
  </si>
  <si>
    <t>Объем потерь</t>
  </si>
  <si>
    <t>Средневзвешенный тариф покупки потерь</t>
  </si>
  <si>
    <t>руб./МВт.ч.</t>
  </si>
  <si>
    <t>Расходы на оплату потерь</t>
  </si>
  <si>
    <t>ВСЕГО НВВ на содержание сетей и потери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</si>
</sst>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1"/>
      <name val="Times New Roman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13" fillId="0" borderId="1" applyBorder="0">
      <alignment horizontal="center" vertical="center" wrapText="1"/>
    </xf>
    <xf numFmtId="9" fontId="1" fillId="0" borderId="0" applyFont="0" applyFill="0" applyBorder="0" applyAlignment="0" applyProtection="0"/>
    <xf numFmtId="0" fontId="2" fillId="0" borderId="0"/>
    <xf numFmtId="4" fontId="14" fillId="2" borderId="0" applyBorder="0">
      <alignment horizontal="right"/>
    </xf>
  </cellStyleXfs>
  <cellXfs count="87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2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12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4" fontId="5" fillId="0" borderId="0" xfId="4" applyNumberFormat="1" applyFont="1" applyAlignment="1">
      <alignment horizontal="center" vertical="center"/>
    </xf>
    <xf numFmtId="4" fontId="5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49" fontId="5" fillId="0" borderId="2" xfId="5" applyNumberFormat="1" applyFont="1" applyBorder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2" xfId="5" applyFont="1" applyBorder="1">
      <alignment horizontal="center" vertical="center" wrapText="1"/>
    </xf>
    <xf numFmtId="4" fontId="5" fillId="0" borderId="2" xfId="4" applyNumberFormat="1" applyFont="1" applyBorder="1" applyAlignment="1">
      <alignment horizontal="center" vertical="center" wrapText="1"/>
    </xf>
    <xf numFmtId="1" fontId="5" fillId="0" borderId="2" xfId="4" applyNumberFormat="1" applyFont="1" applyBorder="1" applyAlignment="1">
      <alignment horizontal="center" vertical="center" wrapText="1"/>
    </xf>
    <xf numFmtId="0" fontId="10" fillId="0" borderId="2" xfId="4" applyFont="1" applyBorder="1" applyAlignment="1">
      <alignment horizontal="left" vertical="center"/>
    </xf>
    <xf numFmtId="0" fontId="8" fillId="0" borderId="0" xfId="4" applyFont="1" applyAlignment="1">
      <alignment vertical="center"/>
    </xf>
    <xf numFmtId="0" fontId="5" fillId="0" borderId="2" xfId="4" applyFont="1" applyBorder="1" applyAlignment="1">
      <alignment vertical="center" wrapText="1"/>
    </xf>
    <xf numFmtId="4" fontId="5" fillId="0" borderId="2" xfId="6" applyNumberFormat="1" applyFont="1" applyFill="1" applyBorder="1" applyAlignment="1">
      <alignment horizontal="center" vertical="center"/>
    </xf>
    <xf numFmtId="4" fontId="5" fillId="0" borderId="2" xfId="4" applyNumberFormat="1" applyFont="1" applyBorder="1" applyAlignment="1">
      <alignment horizontal="center" vertical="center"/>
    </xf>
    <xf numFmtId="0" fontId="10" fillId="0" borderId="3" xfId="4" applyFont="1" applyBorder="1" applyAlignment="1">
      <alignment horizontal="left" vertical="center" wrapText="1"/>
    </xf>
    <xf numFmtId="0" fontId="10" fillId="0" borderId="4" xfId="4" applyFont="1" applyBorder="1" applyAlignment="1">
      <alignment horizontal="left" vertical="center" wrapText="1"/>
    </xf>
    <xf numFmtId="164" fontId="5" fillId="0" borderId="2" xfId="2" applyNumberFormat="1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4" fontId="5" fillId="0" borderId="2" xfId="2" applyNumberFormat="1" applyFont="1" applyBorder="1" applyAlignment="1">
      <alignment horizontal="center" vertical="center"/>
    </xf>
    <xf numFmtId="164" fontId="5" fillId="0" borderId="2" xfId="6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10" fillId="0" borderId="0" xfId="3" applyFont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5" xfId="2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49" fontId="5" fillId="0" borderId="2" xfId="5" applyNumberFormat="1" applyFont="1" applyBorder="1" applyAlignment="1">
      <alignment vertical="center" wrapText="1"/>
    </xf>
    <xf numFmtId="0" fontId="5" fillId="0" borderId="2" xfId="5" applyFont="1" applyBorder="1" applyAlignment="1">
      <alignment vertical="center" wrapText="1"/>
    </xf>
    <xf numFmtId="0" fontId="5" fillId="0" borderId="6" xfId="2" applyFont="1" applyBorder="1" applyAlignment="1">
      <alignment horizontal="center" vertical="center" wrapText="1"/>
    </xf>
    <xf numFmtId="4" fontId="5" fillId="0" borderId="2" xfId="2" applyNumberFormat="1" applyFont="1" applyBorder="1" applyAlignment="1">
      <alignment horizontal="center" vertical="center" wrapText="1"/>
    </xf>
    <xf numFmtId="4" fontId="5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/>
    </xf>
    <xf numFmtId="0" fontId="8" fillId="0" borderId="2" xfId="2" applyFont="1" applyBorder="1" applyAlignment="1">
      <alignment vertical="center"/>
    </xf>
    <xf numFmtId="4" fontId="8" fillId="0" borderId="2" xfId="2" applyNumberFormat="1" applyFont="1" applyBorder="1" applyAlignment="1">
      <alignment horizontal="center" vertical="center" wrapText="1"/>
    </xf>
    <xf numFmtId="4" fontId="8" fillId="0" borderId="2" xfId="2" applyNumberFormat="1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49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vertical="center" wrapText="1"/>
    </xf>
    <xf numFmtId="0" fontId="5" fillId="0" borderId="2" xfId="3" applyFont="1" applyBorder="1" applyAlignment="1">
      <alignment horizontal="center" vertical="center" wrapText="1"/>
    </xf>
    <xf numFmtId="4" fontId="11" fillId="0" borderId="2" xfId="2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vertical="center" wrapText="1"/>
    </xf>
    <xf numFmtId="0" fontId="5" fillId="0" borderId="2" xfId="7" applyFont="1" applyBorder="1" applyAlignment="1">
      <alignment horizontal="left" vertical="center" wrapText="1"/>
    </xf>
    <xf numFmtId="0" fontId="11" fillId="0" borderId="2" xfId="3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left" vertical="center" wrapText="1"/>
    </xf>
    <xf numFmtId="0" fontId="11" fillId="0" borderId="2" xfId="3" applyFont="1" applyBorder="1" applyAlignment="1">
      <alignment vertical="center"/>
    </xf>
    <xf numFmtId="0" fontId="11" fillId="0" borderId="2" xfId="3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5" fillId="0" borderId="2" xfId="3" applyFont="1" applyBorder="1" applyAlignment="1">
      <alignment vertical="center"/>
    </xf>
    <xf numFmtId="3" fontId="5" fillId="0" borderId="2" xfId="3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/>
    </xf>
    <xf numFmtId="4" fontId="5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center" vertical="center"/>
    </xf>
    <xf numFmtId="4" fontId="11" fillId="0" borderId="2" xfId="8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4" fontId="8" fillId="0" borderId="2" xfId="2" applyNumberFormat="1" applyFont="1" applyBorder="1" applyAlignment="1">
      <alignment horizontal="center" vertical="center"/>
    </xf>
    <xf numFmtId="4" fontId="8" fillId="0" borderId="2" xfId="2" applyNumberFormat="1" applyFont="1" applyBorder="1" applyAlignment="1">
      <alignment vertical="center"/>
    </xf>
    <xf numFmtId="0" fontId="11" fillId="0" borderId="2" xfId="5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4" fontId="5" fillId="0" borderId="2" xfId="8" applyFont="1" applyFill="1" applyBorder="1" applyAlignment="1">
      <alignment horizontal="center" vertical="center"/>
    </xf>
    <xf numFmtId="164" fontId="5" fillId="0" borderId="2" xfId="8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66" fontId="5" fillId="0" borderId="2" xfId="8" applyNumberFormat="1" applyFont="1" applyFill="1" applyBorder="1" applyAlignment="1">
      <alignment vertical="center"/>
    </xf>
    <xf numFmtId="166" fontId="11" fillId="0" borderId="2" xfId="8" applyNumberFormat="1" applyFont="1" applyFill="1" applyBorder="1" applyAlignment="1">
      <alignment vertical="center"/>
    </xf>
  </cellXfs>
  <cellStyles count="9">
    <cellStyle name="ЗаголовокСтолбца 2 2" xfId="5" xr:uid="{1C6F5D2A-EADB-4D24-8B3F-E2909283CA47}"/>
    <cellStyle name="Обычный" xfId="0" builtinId="0"/>
    <cellStyle name="Обычный 11" xfId="7" xr:uid="{990F29DE-422B-404D-A629-979543248624}"/>
    <cellStyle name="Обычный 2" xfId="1" xr:uid="{2CF10F7E-8D0D-4521-A10C-35DADBA75C16}"/>
    <cellStyle name="Обычный 2 2" xfId="3" xr:uid="{BCCCF079-8E90-43D1-8B0C-153E06933357}"/>
    <cellStyle name="Обычный 6" xfId="2" xr:uid="{8B196D20-72ED-42B9-A2E1-7913C7DEBAF1}"/>
    <cellStyle name="Обычный 6 2" xfId="4" xr:uid="{C289B1F4-6D5D-4B1B-B1B0-689080DCB5DE}"/>
    <cellStyle name="Процентный 4" xfId="6" xr:uid="{F5AC3D64-85C2-45A2-AD1B-B7FF07A96FEA}"/>
    <cellStyle name="Формула_GRES.2007.5 3" xfId="8" xr:uid="{7B80B59A-39C8-4F55-B330-921CC4387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BMEN\&#1076;&#1083;&#1103;%20&#1084;&#1077;&#1085;&#1103;\&#1044;&#1083;&#1103;%20&#1056;&#1069;&#1050;\&#1058;&#1072;&#1088;&#1080;&#1092;&#1099;%202026\&#1069;&#1058;&#1050;\&#1069;&#1058;&#1050;%20&#1088;&#1072;&#1089;&#1095;&#1077;&#1090;%20&#1090;&#1072;&#1088;&#1080;&#1092;&#1086;&#1074;%20&#1101;&#1101;%202026%20&#1075;..xlsx" TargetMode="External"/><Relationship Id="rId1" Type="http://schemas.openxmlformats.org/officeDocument/2006/relationships/externalLinkPath" Target="/OBMEN/&#1076;&#1083;&#1103;%20&#1084;&#1077;&#1085;&#1103;/&#1044;&#1083;&#1103;%20&#1056;&#1069;&#1050;/&#1058;&#1072;&#1088;&#1080;&#1092;&#1099;%202026/&#1069;&#1058;&#1050;/&#1069;&#1058;&#1050;%20&#1088;&#1072;&#1089;&#1095;&#1077;&#1090;%20&#1090;&#1072;&#1088;&#1080;&#1092;&#1086;&#1074;%20&#1101;&#1101;%202026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BMEN\&#1076;&#1083;&#1103;%20&#1084;&#1077;&#1085;&#1103;\&#1040;&#1085;&#1072;&#1083;&#1080;&#1079;%20&#1090;&#1072;&#1088;&#1080;&#1092;&#1086;&#1074;\&#1069;&#1058;&#1050;\&#1072;&#1085;&#1072;&#1083;&#1080;&#1079;%20&#1090;&#1072;&#1088;&#1080;&#1092;&#1086;&#1074;%20&#1069;&#1058;&#1050;%202024%20&#1075;&#1086;&#1076;.xls" TargetMode="External"/><Relationship Id="rId1" Type="http://schemas.openxmlformats.org/officeDocument/2006/relationships/externalLinkPath" Target="/OBMEN/&#1076;&#1083;&#1103;%20&#1084;&#1077;&#1085;&#1103;/&#1040;&#1085;&#1072;&#1083;&#1080;&#1079;%20&#1090;&#1072;&#1088;&#1080;&#1092;&#1086;&#1074;/&#1069;&#1058;&#1050;/&#1072;&#1085;&#1072;&#1083;&#1080;&#1079;%20&#1090;&#1072;&#1088;&#1080;&#1092;&#1086;&#1074;%20&#1069;&#1058;&#1050;%202024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3"/>
      <sheetName val="1.4"/>
      <sheetName val="1.5"/>
      <sheetName val="1.6"/>
      <sheetName val="15(ээ)"/>
      <sheetName val="П1.16"/>
      <sheetName val="Фот по подразд"/>
      <sheetName val="табл П 1.17"/>
      <sheetName val="табл П 1.17.1"/>
      <sheetName val="18.2"/>
      <sheetName val="20"/>
      <sheetName val="20.3"/>
      <sheetName val="21.3"/>
      <sheetName val="25"/>
      <sheetName val="24"/>
      <sheetName val="27"/>
      <sheetName val="2025-2029"/>
      <sheetName val="неподконтрольные ээ"/>
      <sheetName val="аморт"/>
      <sheetName val="н-г на имущ"/>
      <sheetName val="зем н-г"/>
      <sheetName val="тр н-г"/>
    </sheetNames>
    <sheetDataSet>
      <sheetData sheetId="0"/>
      <sheetData sheetId="1">
        <row r="18">
          <cell r="J18">
            <v>31.198345000000003</v>
          </cell>
        </row>
        <row r="21">
          <cell r="J21">
            <v>652.95899999999995</v>
          </cell>
        </row>
      </sheetData>
      <sheetData sheetId="2">
        <row r="20">
          <cell r="J20">
            <v>95.363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>
            <v>9170935.9135142844</v>
          </cell>
        </row>
        <row r="42">
          <cell r="H42">
            <v>566682.24816417426</v>
          </cell>
        </row>
        <row r="43">
          <cell r="H43">
            <v>433189.2394160548</v>
          </cell>
        </row>
        <row r="44">
          <cell r="H44">
            <v>29453.536236392567</v>
          </cell>
        </row>
      </sheetData>
      <sheetData sheetId="18">
        <row r="47">
          <cell r="H47">
            <v>3100890.2399999998</v>
          </cell>
        </row>
        <row r="2250">
          <cell r="H2250">
            <v>44902525.494647376</v>
          </cell>
        </row>
      </sheetData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ередача ээ "/>
      <sheetName val="передача ээ год"/>
      <sheetName val="корректировка (МС)"/>
      <sheetName val="расчет % фин рез"/>
    </sheetNames>
    <sheetDataSet>
      <sheetData sheetId="0"/>
      <sheetData sheetId="1"/>
      <sheetData sheetId="2">
        <row r="10">
          <cell r="F10">
            <v>4280.7271167600011</v>
          </cell>
        </row>
        <row r="57">
          <cell r="F57">
            <v>76370.750674016686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CADF-11FB-4968-9D4F-3073C3642FFA}">
  <dimension ref="A1:IL109"/>
  <sheetViews>
    <sheetView tabSelected="1" workbookViewId="0">
      <selection activeCell="L101" sqref="L101"/>
    </sheetView>
  </sheetViews>
  <sheetFormatPr defaultRowHeight="15" outlineLevelRow="1" x14ac:dyDescent="0.25"/>
  <cols>
    <col min="1" max="1" width="8.28515625" style="3" customWidth="1"/>
    <col min="2" max="2" width="51.85546875" style="2" customWidth="1"/>
    <col min="3" max="3" width="12.85546875" style="2" customWidth="1"/>
    <col min="4" max="4" width="17.85546875" style="3" customWidth="1"/>
    <col min="5" max="5" width="12.5703125" style="5" customWidth="1"/>
    <col min="6" max="8" width="9.85546875" style="5" bestFit="1" customWidth="1"/>
    <col min="9" max="9" width="9.85546875" style="6" bestFit="1" customWidth="1"/>
    <col min="10" max="10" width="9.140625" style="2"/>
    <col min="11" max="11" width="10.85546875" style="2" bestFit="1" customWidth="1"/>
    <col min="12" max="219" width="9.140625" style="2"/>
    <col min="220" max="220" width="9.5703125" style="2" customWidth="1"/>
    <col min="221" max="221" width="55.28515625" style="2" customWidth="1"/>
    <col min="222" max="222" width="12.5703125" style="2" customWidth="1"/>
    <col min="223" max="223" width="21.5703125" style="2" customWidth="1"/>
    <col min="224" max="224" width="22.140625" style="2" customWidth="1"/>
    <col min="225" max="225" width="19.5703125" style="2" customWidth="1"/>
    <col min="226" max="226" width="19.85546875" style="2" customWidth="1"/>
    <col min="227" max="227" width="18.85546875" style="2" customWidth="1"/>
    <col min="228" max="228" width="20.5703125" style="2" customWidth="1"/>
    <col min="229" max="229" width="20.85546875" style="2" customWidth="1"/>
    <col min="230" max="230" width="19.140625" style="2" customWidth="1"/>
    <col min="231" max="231" width="18" style="2" customWidth="1"/>
    <col min="232" max="233" width="9.140625" style="2"/>
    <col min="234" max="234" width="15.140625" style="2" customWidth="1"/>
    <col min="235" max="246" width="9.140625" style="2"/>
  </cols>
  <sheetData>
    <row r="1" spans="1:246" ht="15.75" x14ac:dyDescent="0.25">
      <c r="A1" s="1"/>
      <c r="D1" s="4"/>
    </row>
    <row r="2" spans="1:246" ht="15.75" x14ac:dyDescent="0.25">
      <c r="A2" s="1"/>
      <c r="B2" s="7"/>
      <c r="C2" s="7"/>
      <c r="D2" s="8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</row>
    <row r="3" spans="1:246" x14ac:dyDescent="0.25">
      <c r="A3" s="11"/>
    </row>
    <row r="4" spans="1:246" ht="31.5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</row>
    <row r="5" spans="1:246" x14ac:dyDescent="0.25">
      <c r="A5" s="13"/>
      <c r="B5" s="13"/>
      <c r="C5" s="13"/>
      <c r="D5" s="13"/>
    </row>
    <row r="6" spans="1:246" x14ac:dyDescent="0.25">
      <c r="A6" s="14" t="s">
        <v>1</v>
      </c>
      <c r="B6" s="15"/>
      <c r="C6" s="15"/>
      <c r="D6" s="16"/>
      <c r="E6" s="17"/>
      <c r="F6" s="17"/>
      <c r="G6" s="17"/>
      <c r="H6" s="17"/>
      <c r="I6" s="1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</row>
    <row r="7" spans="1:246" ht="41.25" customHeight="1" x14ac:dyDescent="0.25">
      <c r="A7" s="20" t="s">
        <v>2</v>
      </c>
      <c r="B7" s="21" t="s">
        <v>3</v>
      </c>
      <c r="C7" s="22" t="s">
        <v>4</v>
      </c>
      <c r="D7" s="23" t="s">
        <v>5</v>
      </c>
      <c r="E7" s="23" t="s">
        <v>6</v>
      </c>
      <c r="F7" s="24">
        <v>2026</v>
      </c>
      <c r="G7" s="24">
        <v>2027</v>
      </c>
      <c r="H7" s="24">
        <v>2028</v>
      </c>
      <c r="I7" s="24">
        <v>2029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</row>
    <row r="8" spans="1:246" ht="15.75" x14ac:dyDescent="0.25">
      <c r="A8" s="25" t="s">
        <v>7</v>
      </c>
      <c r="B8" s="25"/>
      <c r="C8" s="25"/>
      <c r="D8" s="25"/>
      <c r="E8" s="25"/>
      <c r="F8" s="25"/>
      <c r="G8" s="25"/>
      <c r="H8" s="25"/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</row>
    <row r="9" spans="1:246" x14ac:dyDescent="0.25">
      <c r="A9" s="21">
        <v>1</v>
      </c>
      <c r="B9" s="27" t="s">
        <v>8</v>
      </c>
      <c r="C9" s="21"/>
      <c r="D9" s="29">
        <v>0.01</v>
      </c>
      <c r="E9" s="29">
        <v>0.01</v>
      </c>
      <c r="F9" s="29">
        <v>0.01</v>
      </c>
      <c r="G9" s="29">
        <v>0.01</v>
      </c>
      <c r="H9" s="29">
        <v>0.01</v>
      </c>
      <c r="I9" s="29">
        <v>0.01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</row>
    <row r="10" spans="1:246" ht="25.5" x14ac:dyDescent="0.25">
      <c r="A10" s="21">
        <v>2</v>
      </c>
      <c r="B10" s="27" t="s">
        <v>9</v>
      </c>
      <c r="C10" s="21"/>
      <c r="D10" s="29">
        <v>0.75</v>
      </c>
      <c r="E10" s="29">
        <v>0.75</v>
      </c>
      <c r="F10" s="29">
        <v>0.75</v>
      </c>
      <c r="G10" s="29">
        <v>0.75</v>
      </c>
      <c r="H10" s="29">
        <v>0.75</v>
      </c>
      <c r="I10" s="29">
        <v>0.75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</row>
    <row r="11" spans="1:246" ht="25.5" x14ac:dyDescent="0.25">
      <c r="A11" s="21">
        <v>3</v>
      </c>
      <c r="B11" s="27" t="s">
        <v>10</v>
      </c>
      <c r="C11" s="21" t="s">
        <v>11</v>
      </c>
      <c r="D11" s="29">
        <v>1.5</v>
      </c>
      <c r="E11" s="29">
        <v>1.5</v>
      </c>
      <c r="F11" s="29">
        <f>E11</f>
        <v>1.5</v>
      </c>
      <c r="G11" s="29">
        <f t="shared" ref="G11:I11" si="0">F11</f>
        <v>1.5</v>
      </c>
      <c r="H11" s="29">
        <f t="shared" si="0"/>
        <v>1.5</v>
      </c>
      <c r="I11" s="29">
        <f t="shared" si="0"/>
        <v>1.5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</row>
    <row r="12" spans="1:246" x14ac:dyDescent="0.25">
      <c r="A12" s="21">
        <v>4</v>
      </c>
      <c r="B12" s="27" t="s">
        <v>12</v>
      </c>
      <c r="C12" s="21"/>
      <c r="D12" s="29">
        <v>2</v>
      </c>
      <c r="E12" s="29">
        <v>2</v>
      </c>
      <c r="F12" s="29">
        <v>2</v>
      </c>
      <c r="G12" s="29">
        <v>2</v>
      </c>
      <c r="H12" s="29">
        <v>2</v>
      </c>
      <c r="I12" s="29">
        <v>2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</row>
    <row r="13" spans="1:246" ht="15.75" customHeight="1" x14ac:dyDescent="0.25">
      <c r="A13" s="30" t="s">
        <v>13</v>
      </c>
      <c r="B13" s="31"/>
      <c r="C13" s="31"/>
      <c r="D13" s="31"/>
      <c r="E13" s="31"/>
      <c r="F13" s="31"/>
      <c r="G13" s="31"/>
      <c r="H13" s="31"/>
      <c r="I13" s="3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</row>
    <row r="14" spans="1:246" x14ac:dyDescent="0.25">
      <c r="A14" s="21">
        <v>1</v>
      </c>
      <c r="B14" s="27" t="s">
        <v>14</v>
      </c>
      <c r="C14" s="21"/>
      <c r="D14" s="33">
        <v>1.0580000000000001</v>
      </c>
      <c r="E14" s="33">
        <v>1.0580000000000001</v>
      </c>
      <c r="F14" s="32">
        <v>1.0429999999999999</v>
      </c>
      <c r="G14" s="34">
        <v>1.04</v>
      </c>
      <c r="H14" s="34">
        <v>1.04</v>
      </c>
      <c r="I14" s="34">
        <v>1.04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</row>
    <row r="15" spans="1:246" x14ac:dyDescent="0.25">
      <c r="A15" s="21">
        <v>2</v>
      </c>
      <c r="B15" s="27" t="s">
        <v>15</v>
      </c>
      <c r="C15" s="21" t="s">
        <v>16</v>
      </c>
      <c r="D15" s="29">
        <v>6612.53</v>
      </c>
      <c r="E15" s="29">
        <v>6612.53</v>
      </c>
      <c r="F15" s="29">
        <v>6864.85</v>
      </c>
      <c r="G15" s="29">
        <f t="shared" ref="G15:I15" si="1">F15</f>
        <v>6864.85</v>
      </c>
      <c r="H15" s="29">
        <f t="shared" si="1"/>
        <v>6864.85</v>
      </c>
      <c r="I15" s="29">
        <f t="shared" si="1"/>
        <v>6864.85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</row>
    <row r="16" spans="1:246" x14ac:dyDescent="0.25">
      <c r="A16" s="21">
        <v>3</v>
      </c>
      <c r="B16" s="27" t="s">
        <v>17</v>
      </c>
      <c r="C16" s="21"/>
      <c r="D16" s="35"/>
      <c r="E16" s="28"/>
      <c r="F16" s="28">
        <f t="shared" ref="F16:I16" si="2">(F15-E15)/E15</f>
        <v>3.8157860909515819E-2</v>
      </c>
      <c r="G16" s="28">
        <f t="shared" si="2"/>
        <v>0</v>
      </c>
      <c r="H16" s="28">
        <f t="shared" si="2"/>
        <v>0</v>
      </c>
      <c r="I16" s="28">
        <f t="shared" si="2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</row>
    <row r="17" spans="1:246" x14ac:dyDescent="0.25">
      <c r="A17" s="21">
        <v>4</v>
      </c>
      <c r="B17" s="27" t="s">
        <v>18</v>
      </c>
      <c r="C17" s="21"/>
      <c r="D17" s="35"/>
      <c r="E17" s="28"/>
      <c r="F17" s="28">
        <f>ROUND(F14*(1+F10*F16)*(1-F9),3)</f>
        <v>1.0620000000000001</v>
      </c>
      <c r="G17" s="28">
        <f t="shared" ref="G17:I17" si="3">ROUND(G14*(1+G10*G16)*(1-G9),3)</f>
        <v>1.03</v>
      </c>
      <c r="H17" s="28">
        <f t="shared" si="3"/>
        <v>1.03</v>
      </c>
      <c r="I17" s="28">
        <f t="shared" si="3"/>
        <v>1.03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</row>
    <row r="18" spans="1:246" x14ac:dyDescent="0.25">
      <c r="B18" s="36"/>
      <c r="C18" s="3"/>
    </row>
    <row r="19" spans="1:246" ht="15.75" x14ac:dyDescent="0.25">
      <c r="A19" s="37" t="s">
        <v>19</v>
      </c>
      <c r="B19" s="37"/>
      <c r="C19" s="37"/>
      <c r="D19" s="37"/>
      <c r="E19" s="37"/>
      <c r="F19" s="37"/>
      <c r="G19" s="37"/>
      <c r="H19" s="37"/>
      <c r="I19" s="3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</row>
    <row r="20" spans="1:246" x14ac:dyDescent="0.25">
      <c r="A20" s="38"/>
      <c r="B20" s="38"/>
      <c r="C20" s="38"/>
      <c r="D20" s="40"/>
      <c r="E20" s="41"/>
      <c r="F20" s="41"/>
      <c r="G20" s="41"/>
      <c r="H20" s="41"/>
      <c r="I20" s="4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s="39" customFormat="1" ht="31.5" customHeight="1" x14ac:dyDescent="0.25">
      <c r="A21" s="20" t="s">
        <v>2</v>
      </c>
      <c r="B21" s="22" t="s">
        <v>3</v>
      </c>
      <c r="C21" s="22" t="s">
        <v>4</v>
      </c>
      <c r="D21" s="43" t="s">
        <v>20</v>
      </c>
      <c r="E21" s="44">
        <v>2025</v>
      </c>
      <c r="F21" s="45">
        <v>2026</v>
      </c>
      <c r="G21" s="45">
        <v>2027</v>
      </c>
      <c r="H21" s="45">
        <v>2028</v>
      </c>
      <c r="I21" s="45">
        <v>2029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</row>
    <row r="22" spans="1:246" hidden="1" outlineLevel="1" x14ac:dyDescent="0.25">
      <c r="A22" s="46"/>
      <c r="B22" s="47"/>
      <c r="C22" s="47"/>
      <c r="D22" s="48"/>
      <c r="E22" s="49"/>
      <c r="F22" s="49"/>
      <c r="G22" s="49"/>
      <c r="H22" s="49"/>
      <c r="I22" s="50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</row>
    <row r="23" spans="1:246" ht="15.75" collapsed="1" x14ac:dyDescent="0.25">
      <c r="A23" s="51" t="s">
        <v>21</v>
      </c>
      <c r="B23" s="52" t="s">
        <v>22</v>
      </c>
      <c r="C23" s="53"/>
      <c r="D23" s="51"/>
      <c r="E23" s="54"/>
      <c r="F23" s="54"/>
      <c r="G23" s="54"/>
      <c r="H23" s="54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</row>
    <row r="24" spans="1:246" x14ac:dyDescent="0.25">
      <c r="A24" s="57" t="s">
        <v>23</v>
      </c>
      <c r="B24" s="58" t="s">
        <v>24</v>
      </c>
      <c r="C24" s="59" t="s">
        <v>25</v>
      </c>
      <c r="D24" s="60">
        <f t="shared" ref="D24:I25" si="4">D25</f>
        <v>250.12</v>
      </c>
      <c r="E24" s="60">
        <f t="shared" si="4"/>
        <v>95.4</v>
      </c>
      <c r="F24" s="60">
        <f t="shared" si="4"/>
        <v>101.31480000000001</v>
      </c>
      <c r="G24" s="60">
        <f t="shared" si="4"/>
        <v>104.35424400000001</v>
      </c>
      <c r="H24" s="60">
        <f t="shared" si="4"/>
        <v>107.48487132000001</v>
      </c>
      <c r="I24" s="60">
        <f t="shared" si="4"/>
        <v>110.70941745960002</v>
      </c>
    </row>
    <row r="25" spans="1:246" x14ac:dyDescent="0.25">
      <c r="A25" s="61" t="s">
        <v>26</v>
      </c>
      <c r="B25" s="62" t="s">
        <v>27</v>
      </c>
      <c r="C25" s="59" t="s">
        <v>25</v>
      </c>
      <c r="D25" s="34">
        <f>D26</f>
        <v>250.12</v>
      </c>
      <c r="E25" s="34">
        <f>E26</f>
        <v>95.4</v>
      </c>
      <c r="F25" s="34">
        <f>F26</f>
        <v>101.31480000000001</v>
      </c>
      <c r="G25" s="34">
        <f t="shared" si="4"/>
        <v>104.35424400000001</v>
      </c>
      <c r="H25" s="34">
        <f t="shared" si="4"/>
        <v>107.48487132000001</v>
      </c>
      <c r="I25" s="34">
        <f t="shared" si="4"/>
        <v>110.70941745960002</v>
      </c>
    </row>
    <row r="26" spans="1:246" x14ac:dyDescent="0.25">
      <c r="A26" s="61" t="s">
        <v>28</v>
      </c>
      <c r="B26" s="63" t="s">
        <v>29</v>
      </c>
      <c r="C26" s="59" t="s">
        <v>25</v>
      </c>
      <c r="D26" s="34">
        <v>250.12</v>
      </c>
      <c r="E26" s="34">
        <v>95.4</v>
      </c>
      <c r="F26" s="34">
        <f>E26*F17</f>
        <v>101.31480000000001</v>
      </c>
      <c r="G26" s="34">
        <f t="shared" ref="G26:I26" si="5">F26*G17</f>
        <v>104.35424400000001</v>
      </c>
      <c r="H26" s="34">
        <f t="shared" si="5"/>
        <v>107.48487132000001</v>
      </c>
      <c r="I26" s="34">
        <f t="shared" si="5"/>
        <v>110.70941745960002</v>
      </c>
    </row>
    <row r="27" spans="1:246" x14ac:dyDescent="0.25">
      <c r="A27" s="57" t="s">
        <v>30</v>
      </c>
      <c r="B27" s="64" t="s">
        <v>31</v>
      </c>
      <c r="C27" s="59" t="s">
        <v>25</v>
      </c>
      <c r="D27" s="60">
        <f t="shared" ref="D27:I27" si="6">D28+D31+D34</f>
        <v>182007.26772</v>
      </c>
      <c r="E27" s="60">
        <f t="shared" si="6"/>
        <v>69516.72</v>
      </c>
      <c r="F27" s="60">
        <f t="shared" si="6"/>
        <v>73826.756640000007</v>
      </c>
      <c r="G27" s="60">
        <f t="shared" si="6"/>
        <v>76041.559339200001</v>
      </c>
      <c r="H27" s="60">
        <f t="shared" si="6"/>
        <v>78322.806119376008</v>
      </c>
      <c r="I27" s="60">
        <f t="shared" si="6"/>
        <v>80672.490302957274</v>
      </c>
      <c r="K27" s="6"/>
    </row>
    <row r="28" spans="1:246" outlineLevel="1" x14ac:dyDescent="0.25">
      <c r="A28" s="65" t="s">
        <v>32</v>
      </c>
      <c r="B28" s="66" t="s">
        <v>33</v>
      </c>
      <c r="C28" s="59" t="s">
        <v>25</v>
      </c>
      <c r="D28" s="34">
        <f>D29*D30*12/1000</f>
        <v>45270.843240000002</v>
      </c>
      <c r="E28" s="34">
        <v>17290.96</v>
      </c>
      <c r="F28" s="34">
        <f>E28*F17</f>
        <v>18362.999520000001</v>
      </c>
      <c r="G28" s="34">
        <f t="shared" ref="G28:I28" si="7">F28*G17</f>
        <v>18913.8895056</v>
      </c>
      <c r="H28" s="34">
        <f t="shared" si="7"/>
        <v>19481.306190768002</v>
      </c>
      <c r="I28" s="34">
        <f t="shared" si="7"/>
        <v>20065.745376491042</v>
      </c>
      <c r="K28" s="6"/>
    </row>
    <row r="29" spans="1:246" outlineLevel="1" x14ac:dyDescent="0.25">
      <c r="A29" s="65"/>
      <c r="B29" s="66" t="s">
        <v>34</v>
      </c>
      <c r="C29" s="59" t="s">
        <v>35</v>
      </c>
      <c r="D29" s="45">
        <v>49</v>
      </c>
      <c r="E29" s="34">
        <f>D29</f>
        <v>49</v>
      </c>
      <c r="F29" s="34">
        <f>E29</f>
        <v>49</v>
      </c>
      <c r="G29" s="34">
        <f t="shared" ref="G29:I29" si="8">F29</f>
        <v>49</v>
      </c>
      <c r="H29" s="34">
        <f t="shared" si="8"/>
        <v>49</v>
      </c>
      <c r="I29" s="34">
        <f t="shared" si="8"/>
        <v>49</v>
      </c>
    </row>
    <row r="30" spans="1:246" outlineLevel="1" x14ac:dyDescent="0.25">
      <c r="A30" s="65"/>
      <c r="B30" s="66" t="s">
        <v>36</v>
      </c>
      <c r="C30" s="59" t="s">
        <v>37</v>
      </c>
      <c r="D30" s="34">
        <v>76991.23</v>
      </c>
      <c r="E30" s="34">
        <f>E28/E29/12*1000</f>
        <v>29406.394557823129</v>
      </c>
      <c r="F30" s="34">
        <f t="shared" ref="F30:I30" si="9">F28/F29/12*1000</f>
        <v>31229.591020408167</v>
      </c>
      <c r="G30" s="34">
        <f t="shared" si="9"/>
        <v>32166.478751020408</v>
      </c>
      <c r="H30" s="34">
        <f t="shared" si="9"/>
        <v>33131.473113551023</v>
      </c>
      <c r="I30" s="34">
        <f t="shared" si="9"/>
        <v>34125.417306957548</v>
      </c>
    </row>
    <row r="31" spans="1:246" outlineLevel="1" x14ac:dyDescent="0.25">
      <c r="A31" s="65" t="s">
        <v>38</v>
      </c>
      <c r="B31" s="66" t="s">
        <v>39</v>
      </c>
      <c r="C31" s="59" t="s">
        <v>25</v>
      </c>
      <c r="D31" s="34">
        <f>D32*D33*12/1000</f>
        <v>31412.421839999995</v>
      </c>
      <c r="E31" s="34">
        <v>12068.39</v>
      </c>
      <c r="F31" s="34">
        <f>E31*F17</f>
        <v>12816.63018</v>
      </c>
      <c r="G31" s="34">
        <f t="shared" ref="G31:I31" si="10">F31*G17</f>
        <v>13201.1290854</v>
      </c>
      <c r="H31" s="34">
        <f t="shared" si="10"/>
        <v>13597.162957962</v>
      </c>
      <c r="I31" s="34">
        <f t="shared" si="10"/>
        <v>14005.07784670086</v>
      </c>
    </row>
    <row r="32" spans="1:246" outlineLevel="1" x14ac:dyDescent="0.25">
      <c r="A32" s="65"/>
      <c r="B32" s="66" t="s">
        <v>40</v>
      </c>
      <c r="C32" s="59" t="s">
        <v>35</v>
      </c>
      <c r="D32" s="45">
        <v>34</v>
      </c>
      <c r="E32" s="34">
        <f>D32</f>
        <v>34</v>
      </c>
      <c r="F32" s="34">
        <f>E32</f>
        <v>34</v>
      </c>
      <c r="G32" s="34">
        <f t="shared" ref="G32:I32" si="11">F32</f>
        <v>34</v>
      </c>
      <c r="H32" s="34">
        <f t="shared" si="11"/>
        <v>34</v>
      </c>
      <c r="I32" s="34">
        <f t="shared" si="11"/>
        <v>34</v>
      </c>
    </row>
    <row r="33" spans="1:246" outlineLevel="1" x14ac:dyDescent="0.25">
      <c r="A33" s="65"/>
      <c r="B33" s="66" t="s">
        <v>41</v>
      </c>
      <c r="C33" s="59" t="s">
        <v>37</v>
      </c>
      <c r="D33" s="34">
        <v>76991.23</v>
      </c>
      <c r="E33" s="34">
        <f>E31/E32/12*1000</f>
        <v>29579.387254901958</v>
      </c>
      <c r="F33" s="34">
        <f t="shared" ref="F33:I33" si="12">F31/F32/12*1000</f>
        <v>31413.309264705884</v>
      </c>
      <c r="G33" s="34">
        <f t="shared" si="12"/>
        <v>32355.708542647058</v>
      </c>
      <c r="H33" s="34">
        <f t="shared" si="12"/>
        <v>33326.379798926471</v>
      </c>
      <c r="I33" s="34">
        <f t="shared" si="12"/>
        <v>34326.171192894268</v>
      </c>
    </row>
    <row r="34" spans="1:246" outlineLevel="1" x14ac:dyDescent="0.25">
      <c r="A34" s="65" t="s">
        <v>42</v>
      </c>
      <c r="B34" s="66" t="s">
        <v>43</v>
      </c>
      <c r="C34" s="59" t="s">
        <v>25</v>
      </c>
      <c r="D34" s="34">
        <f>D35*D36*12/1000</f>
        <v>105324.00263999999</v>
      </c>
      <c r="E34" s="34">
        <v>40157.370000000003</v>
      </c>
      <c r="F34" s="34">
        <f>E34*F17</f>
        <v>42647.126940000002</v>
      </c>
      <c r="G34" s="34">
        <f t="shared" ref="G34:I34" si="13">F34*G17</f>
        <v>43926.540748200001</v>
      </c>
      <c r="H34" s="34">
        <f t="shared" si="13"/>
        <v>45244.336970646</v>
      </c>
      <c r="I34" s="34">
        <f t="shared" si="13"/>
        <v>46601.667079765379</v>
      </c>
    </row>
    <row r="35" spans="1:246" outlineLevel="1" x14ac:dyDescent="0.25">
      <c r="A35" s="65"/>
      <c r="B35" s="66" t="s">
        <v>44</v>
      </c>
      <c r="C35" s="59" t="s">
        <v>35</v>
      </c>
      <c r="D35" s="45">
        <v>114</v>
      </c>
      <c r="E35" s="34">
        <f>D35</f>
        <v>114</v>
      </c>
      <c r="F35" s="34">
        <f>E35</f>
        <v>114</v>
      </c>
      <c r="G35" s="34">
        <f t="shared" ref="G35:I35" si="14">F35</f>
        <v>114</v>
      </c>
      <c r="H35" s="34">
        <f t="shared" si="14"/>
        <v>114</v>
      </c>
      <c r="I35" s="34">
        <f t="shared" si="14"/>
        <v>114</v>
      </c>
    </row>
    <row r="36" spans="1:246" outlineLevel="1" x14ac:dyDescent="0.25">
      <c r="A36" s="65"/>
      <c r="B36" s="66" t="s">
        <v>45</v>
      </c>
      <c r="C36" s="59" t="s">
        <v>37</v>
      </c>
      <c r="D36" s="34">
        <v>76991.23</v>
      </c>
      <c r="E36" s="34">
        <f>E34/E35/12*1000</f>
        <v>29354.80263157895</v>
      </c>
      <c r="F36" s="34">
        <f t="shared" ref="F36:I36" si="15">F34/F35/12*1000</f>
        <v>31174.800394736845</v>
      </c>
      <c r="G36" s="34">
        <f t="shared" si="15"/>
        <v>32110.044406578949</v>
      </c>
      <c r="H36" s="34">
        <f t="shared" si="15"/>
        <v>33073.345738776319</v>
      </c>
      <c r="I36" s="34">
        <f t="shared" si="15"/>
        <v>34065.546110939598</v>
      </c>
    </row>
    <row r="37" spans="1:246" x14ac:dyDescent="0.25">
      <c r="A37" s="57" t="s">
        <v>46</v>
      </c>
      <c r="B37" s="58" t="s">
        <v>47</v>
      </c>
      <c r="C37" s="59" t="s">
        <v>25</v>
      </c>
      <c r="D37" s="60">
        <f t="shared" ref="D37:I37" si="16">D38+D41+D58+D59+D60+D67+D68+D69+D72</f>
        <v>101790.01000000001</v>
      </c>
      <c r="E37" s="60">
        <f t="shared" si="16"/>
        <v>61815.339999999989</v>
      </c>
      <c r="F37" s="60">
        <f t="shared" si="16"/>
        <v>65647.891080000001</v>
      </c>
      <c r="G37" s="60">
        <f t="shared" si="16"/>
        <v>67617.327812399992</v>
      </c>
      <c r="H37" s="60">
        <f t="shared" si="16"/>
        <v>69645.847646772003</v>
      </c>
      <c r="I37" s="60">
        <f t="shared" si="16"/>
        <v>71735.223076175171</v>
      </c>
    </row>
    <row r="38" spans="1:246" x14ac:dyDescent="0.25">
      <c r="A38" s="57" t="s">
        <v>48</v>
      </c>
      <c r="B38" s="67" t="s">
        <v>49</v>
      </c>
      <c r="C38" s="68" t="s">
        <v>25</v>
      </c>
      <c r="D38" s="60">
        <f t="shared" ref="D38:I38" si="17">D39+D40</f>
        <v>83264.61</v>
      </c>
      <c r="E38" s="60">
        <f t="shared" si="17"/>
        <v>47597.829999999994</v>
      </c>
      <c r="F38" s="60">
        <f t="shared" si="17"/>
        <v>50548.89546</v>
      </c>
      <c r="G38" s="60">
        <f t="shared" si="17"/>
        <v>52065.3623238</v>
      </c>
      <c r="H38" s="60">
        <f t="shared" si="17"/>
        <v>53627.323193513999</v>
      </c>
      <c r="I38" s="60">
        <f t="shared" si="17"/>
        <v>55236.142889319424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</row>
    <row r="39" spans="1:246" x14ac:dyDescent="0.25">
      <c r="A39" s="61" t="s">
        <v>50</v>
      </c>
      <c r="B39" s="70" t="s">
        <v>51</v>
      </c>
      <c r="C39" s="59" t="s">
        <v>25</v>
      </c>
      <c r="D39" s="34">
        <v>74848.3</v>
      </c>
      <c r="E39" s="34">
        <v>43204.27</v>
      </c>
      <c r="F39" s="34">
        <f>E39*F$17</f>
        <v>45882.934739999997</v>
      </c>
      <c r="G39" s="34">
        <f t="shared" ref="G39:I44" si="18">F39*G$17</f>
        <v>47259.422782199996</v>
      </c>
      <c r="H39" s="34">
        <f t="shared" si="18"/>
        <v>48677.205465665997</v>
      </c>
      <c r="I39" s="34">
        <f t="shared" si="18"/>
        <v>50137.521629635979</v>
      </c>
    </row>
    <row r="40" spans="1:246" x14ac:dyDescent="0.25">
      <c r="A40" s="61" t="s">
        <v>52</v>
      </c>
      <c r="B40" s="70" t="s">
        <v>53</v>
      </c>
      <c r="C40" s="59" t="s">
        <v>25</v>
      </c>
      <c r="D40" s="34">
        <v>8416.31</v>
      </c>
      <c r="E40" s="34">
        <v>4393.5600000000004</v>
      </c>
      <c r="F40" s="34">
        <f>E40*F$17</f>
        <v>4665.9607200000009</v>
      </c>
      <c r="G40" s="34">
        <f t="shared" si="18"/>
        <v>4805.9395416000007</v>
      </c>
      <c r="H40" s="34">
        <f t="shared" si="18"/>
        <v>4950.1177278480009</v>
      </c>
      <c r="I40" s="34">
        <f t="shared" si="18"/>
        <v>5098.6212596834412</v>
      </c>
    </row>
    <row r="41" spans="1:246" x14ac:dyDescent="0.25">
      <c r="A41" s="57" t="s">
        <v>54</v>
      </c>
      <c r="B41" s="58" t="s">
        <v>55</v>
      </c>
      <c r="C41" s="68" t="s">
        <v>25</v>
      </c>
      <c r="D41" s="60">
        <f>D42+D43+D47+D50+D51</f>
        <v>9132.77</v>
      </c>
      <c r="E41" s="60">
        <f>E42+E43+E47+E50+E51</f>
        <v>8837.57</v>
      </c>
      <c r="F41" s="60">
        <f t="shared" ref="F41:I41" si="19">F42+F43+F47+F50+F51</f>
        <v>9385.4993400000003</v>
      </c>
      <c r="G41" s="60">
        <f t="shared" si="19"/>
        <v>9667.064320200001</v>
      </c>
      <c r="H41" s="60">
        <f t="shared" si="19"/>
        <v>9957.0762498060012</v>
      </c>
      <c r="I41" s="60">
        <f t="shared" si="19"/>
        <v>10255.788537300183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</row>
    <row r="42" spans="1:246" x14ac:dyDescent="0.25">
      <c r="A42" s="61" t="s">
        <v>56</v>
      </c>
      <c r="B42" s="62" t="s">
        <v>57</v>
      </c>
      <c r="C42" s="59" t="s">
        <v>25</v>
      </c>
      <c r="D42" s="34">
        <v>1453.31</v>
      </c>
      <c r="E42" s="34">
        <v>534.03</v>
      </c>
      <c r="F42" s="34">
        <f>E42*F$17</f>
        <v>567.13986</v>
      </c>
      <c r="G42" s="34">
        <f t="shared" si="18"/>
        <v>584.15405580000004</v>
      </c>
      <c r="H42" s="34">
        <f t="shared" si="18"/>
        <v>601.6786774740001</v>
      </c>
      <c r="I42" s="34">
        <f t="shared" si="18"/>
        <v>619.72903779822013</v>
      </c>
    </row>
    <row r="43" spans="1:246" ht="25.5" x14ac:dyDescent="0.25">
      <c r="A43" s="61" t="s">
        <v>58</v>
      </c>
      <c r="B43" s="62" t="s">
        <v>59</v>
      </c>
      <c r="C43" s="59" t="s">
        <v>25</v>
      </c>
      <c r="D43" s="34">
        <f>D44+D45+D46</f>
        <v>2909</v>
      </c>
      <c r="E43" s="34">
        <f>E44+E45+E46</f>
        <v>1130.5899999999999</v>
      </c>
      <c r="F43" s="34">
        <f t="shared" ref="F43:I43" si="20">F44+F45+F46</f>
        <v>1200.68658</v>
      </c>
      <c r="G43" s="34">
        <f t="shared" si="20"/>
        <v>1236.7071774000001</v>
      </c>
      <c r="H43" s="34">
        <f t="shared" si="20"/>
        <v>1273.808392722</v>
      </c>
      <c r="I43" s="34">
        <f t="shared" si="20"/>
        <v>1312.0226445036603</v>
      </c>
    </row>
    <row r="44" spans="1:246" x14ac:dyDescent="0.25">
      <c r="A44" s="61" t="s">
        <v>60</v>
      </c>
      <c r="B44" s="62" t="s">
        <v>61</v>
      </c>
      <c r="C44" s="59" t="s">
        <v>25</v>
      </c>
      <c r="D44" s="34">
        <v>1382.24</v>
      </c>
      <c r="E44" s="34">
        <v>507.74</v>
      </c>
      <c r="F44" s="34">
        <f>E44*F$17</f>
        <v>539.21987999999999</v>
      </c>
      <c r="G44" s="34">
        <f t="shared" si="18"/>
        <v>555.39647639999998</v>
      </c>
      <c r="H44" s="34">
        <f t="shared" si="18"/>
        <v>572.05837069200004</v>
      </c>
      <c r="I44" s="34">
        <f t="shared" si="18"/>
        <v>589.22012181276011</v>
      </c>
    </row>
    <row r="45" spans="1:246" x14ac:dyDescent="0.25">
      <c r="A45" s="61" t="s">
        <v>62</v>
      </c>
      <c r="B45" s="62" t="s">
        <v>63</v>
      </c>
      <c r="C45" s="59" t="s">
        <v>25</v>
      </c>
      <c r="D45" s="34">
        <v>894.7</v>
      </c>
      <c r="E45" s="34">
        <v>330.53</v>
      </c>
      <c r="F45" s="34">
        <f t="shared" ref="F45:I60" si="21">E45*F$17</f>
        <v>351.02285999999998</v>
      </c>
      <c r="G45" s="34">
        <f t="shared" si="21"/>
        <v>361.55354579999999</v>
      </c>
      <c r="H45" s="34">
        <f t="shared" si="21"/>
        <v>372.40015217400003</v>
      </c>
      <c r="I45" s="34">
        <f t="shared" si="21"/>
        <v>383.57215673922002</v>
      </c>
    </row>
    <row r="46" spans="1:246" x14ac:dyDescent="0.25">
      <c r="A46" s="61" t="s">
        <v>64</v>
      </c>
      <c r="B46" s="62" t="s">
        <v>65</v>
      </c>
      <c r="C46" s="59" t="s">
        <v>25</v>
      </c>
      <c r="D46" s="34">
        <v>632.05999999999995</v>
      </c>
      <c r="E46" s="34">
        <v>292.32</v>
      </c>
      <c r="F46" s="34">
        <f t="shared" si="21"/>
        <v>310.44384000000002</v>
      </c>
      <c r="G46" s="34">
        <f t="shared" si="21"/>
        <v>319.75715520000006</v>
      </c>
      <c r="H46" s="34">
        <f t="shared" si="21"/>
        <v>329.34986985600005</v>
      </c>
      <c r="I46" s="34">
        <f t="shared" si="21"/>
        <v>339.23036595168008</v>
      </c>
    </row>
    <row r="47" spans="1:246" x14ac:dyDescent="0.25">
      <c r="A47" s="61" t="s">
        <v>66</v>
      </c>
      <c r="B47" s="66" t="s">
        <v>67</v>
      </c>
      <c r="C47" s="59" t="s">
        <v>25</v>
      </c>
      <c r="D47" s="34">
        <f>D48+D49</f>
        <v>118.86</v>
      </c>
      <c r="E47" s="34">
        <f>E48+E49</f>
        <v>260.27</v>
      </c>
      <c r="F47" s="34">
        <f t="shared" ref="F47:I47" si="22">F48+F49</f>
        <v>276.40674000000001</v>
      </c>
      <c r="G47" s="34">
        <f t="shared" si="22"/>
        <v>284.69894220000003</v>
      </c>
      <c r="H47" s="34">
        <f t="shared" si="22"/>
        <v>293.23991046600003</v>
      </c>
      <c r="I47" s="34">
        <f t="shared" si="22"/>
        <v>302.03710777998003</v>
      </c>
    </row>
    <row r="48" spans="1:246" x14ac:dyDescent="0.25">
      <c r="A48" s="61" t="s">
        <v>68</v>
      </c>
      <c r="B48" s="62" t="s">
        <v>69</v>
      </c>
      <c r="C48" s="59" t="s">
        <v>25</v>
      </c>
      <c r="D48" s="34"/>
      <c r="E48" s="34">
        <v>216.61</v>
      </c>
      <c r="F48" s="34">
        <f t="shared" si="21"/>
        <v>230.03982000000002</v>
      </c>
      <c r="G48" s="34">
        <f t="shared" si="21"/>
        <v>236.94101460000002</v>
      </c>
      <c r="H48" s="34">
        <f t="shared" si="21"/>
        <v>244.04924503800004</v>
      </c>
      <c r="I48" s="34">
        <f t="shared" si="21"/>
        <v>251.37072238914004</v>
      </c>
    </row>
    <row r="49" spans="1:246" x14ac:dyDescent="0.25">
      <c r="A49" s="61" t="s">
        <v>70</v>
      </c>
      <c r="B49" s="71" t="s">
        <v>71</v>
      </c>
      <c r="C49" s="59" t="s">
        <v>25</v>
      </c>
      <c r="D49" s="34">
        <v>118.86</v>
      </c>
      <c r="E49" s="34">
        <v>43.66</v>
      </c>
      <c r="F49" s="34">
        <f t="shared" si="21"/>
        <v>46.36692</v>
      </c>
      <c r="G49" s="34">
        <f t="shared" si="21"/>
        <v>47.757927600000002</v>
      </c>
      <c r="H49" s="34">
        <f t="shared" si="21"/>
        <v>49.190665428000003</v>
      </c>
      <c r="I49" s="34">
        <f t="shared" si="21"/>
        <v>50.666385390840006</v>
      </c>
    </row>
    <row r="50" spans="1:246" x14ac:dyDescent="0.25">
      <c r="A50" s="61" t="s">
        <v>72</v>
      </c>
      <c r="B50" s="62" t="s">
        <v>73</v>
      </c>
      <c r="C50" s="59" t="s">
        <v>25</v>
      </c>
      <c r="D50" s="34">
        <v>341.63</v>
      </c>
      <c r="E50" s="34">
        <v>125.49</v>
      </c>
      <c r="F50" s="34">
        <f t="shared" si="21"/>
        <v>133.27037999999999</v>
      </c>
      <c r="G50" s="34">
        <f t="shared" si="21"/>
        <v>137.26849139999999</v>
      </c>
      <c r="H50" s="34">
        <f t="shared" si="21"/>
        <v>141.38654614199999</v>
      </c>
      <c r="I50" s="34">
        <f t="shared" si="21"/>
        <v>145.62814252625998</v>
      </c>
    </row>
    <row r="51" spans="1:246" x14ac:dyDescent="0.25">
      <c r="A51" s="61" t="s">
        <v>74</v>
      </c>
      <c r="B51" s="71" t="s">
        <v>75</v>
      </c>
      <c r="C51" s="59" t="s">
        <v>25</v>
      </c>
      <c r="D51" s="34">
        <f>D52+D53+D57+D54+D55+D56</f>
        <v>4309.97</v>
      </c>
      <c r="E51" s="34">
        <f>E52+E53+E57+E54+E55+E56</f>
        <v>6787.1900000000005</v>
      </c>
      <c r="F51" s="34">
        <f t="shared" ref="F51:I51" si="23">F52+F53+F57+F54+F55+F56</f>
        <v>7207.9957800000002</v>
      </c>
      <c r="G51" s="34">
        <f t="shared" si="23"/>
        <v>7424.235653400001</v>
      </c>
      <c r="H51" s="34">
        <f t="shared" si="23"/>
        <v>7646.9627230020014</v>
      </c>
      <c r="I51" s="34">
        <f t="shared" si="23"/>
        <v>7876.3716046920617</v>
      </c>
    </row>
    <row r="52" spans="1:246" x14ac:dyDescent="0.25">
      <c r="A52" s="61" t="s">
        <v>76</v>
      </c>
      <c r="B52" s="62" t="s">
        <v>77</v>
      </c>
      <c r="C52" s="59" t="s">
        <v>25</v>
      </c>
      <c r="D52" s="34">
        <v>195.27</v>
      </c>
      <c r="E52" s="34">
        <v>81.180000000000007</v>
      </c>
      <c r="F52" s="34">
        <f t="shared" si="21"/>
        <v>86.213160000000016</v>
      </c>
      <c r="G52" s="34">
        <f t="shared" si="21"/>
        <v>88.799554800000024</v>
      </c>
      <c r="H52" s="34">
        <f t="shared" si="21"/>
        <v>91.463541444000029</v>
      </c>
      <c r="I52" s="34">
        <f t="shared" si="21"/>
        <v>94.207447687320027</v>
      </c>
    </row>
    <row r="53" spans="1:246" ht="25.5" x14ac:dyDescent="0.25">
      <c r="A53" s="61" t="s">
        <v>78</v>
      </c>
      <c r="B53" s="62" t="s">
        <v>79</v>
      </c>
      <c r="C53" s="59" t="s">
        <v>25</v>
      </c>
      <c r="D53" s="34">
        <v>2578.7600000000002</v>
      </c>
      <c r="E53" s="34">
        <v>1135.71</v>
      </c>
      <c r="F53" s="34">
        <f t="shared" si="21"/>
        <v>1206.1240200000002</v>
      </c>
      <c r="G53" s="34">
        <f t="shared" si="21"/>
        <v>1242.3077406000002</v>
      </c>
      <c r="H53" s="34">
        <f t="shared" si="21"/>
        <v>1279.5769728180003</v>
      </c>
      <c r="I53" s="34">
        <f t="shared" si="21"/>
        <v>1317.9642820025404</v>
      </c>
    </row>
    <row r="54" spans="1:246" x14ac:dyDescent="0.25">
      <c r="A54" s="61" t="s">
        <v>80</v>
      </c>
      <c r="B54" s="62" t="s">
        <v>81</v>
      </c>
      <c r="C54" s="59" t="s">
        <v>25</v>
      </c>
      <c r="D54" s="34"/>
      <c r="E54" s="34">
        <v>1436.12</v>
      </c>
      <c r="F54" s="34">
        <f t="shared" si="21"/>
        <v>1525.1594399999999</v>
      </c>
      <c r="G54" s="34">
        <f t="shared" si="21"/>
        <v>1570.9142231999999</v>
      </c>
      <c r="H54" s="34">
        <f t="shared" si="21"/>
        <v>1618.0416498959999</v>
      </c>
      <c r="I54" s="34">
        <f t="shared" si="21"/>
        <v>1666.5828993928799</v>
      </c>
    </row>
    <row r="55" spans="1:246" x14ac:dyDescent="0.25">
      <c r="A55" s="61" t="s">
        <v>82</v>
      </c>
      <c r="B55" s="62" t="s">
        <v>83</v>
      </c>
      <c r="C55" s="59" t="s">
        <v>25</v>
      </c>
      <c r="D55" s="34">
        <v>1108.79</v>
      </c>
      <c r="E55" s="34">
        <v>563.51</v>
      </c>
      <c r="F55" s="34">
        <f t="shared" si="21"/>
        <v>598.44762000000003</v>
      </c>
      <c r="G55" s="34">
        <f t="shared" si="21"/>
        <v>616.40104860000008</v>
      </c>
      <c r="H55" s="34">
        <f t="shared" si="21"/>
        <v>634.89308005800012</v>
      </c>
      <c r="I55" s="34">
        <f t="shared" si="21"/>
        <v>653.93987245974017</v>
      </c>
    </row>
    <row r="56" spans="1:246" x14ac:dyDescent="0.25">
      <c r="A56" s="61" t="s">
        <v>84</v>
      </c>
      <c r="B56" s="62" t="s">
        <v>85</v>
      </c>
      <c r="C56" s="59" t="s">
        <v>25</v>
      </c>
      <c r="D56" s="34"/>
      <c r="E56" s="34">
        <v>3376.86</v>
      </c>
      <c r="F56" s="34">
        <f t="shared" si="21"/>
        <v>3586.2253200000005</v>
      </c>
      <c r="G56" s="34">
        <f t="shared" si="21"/>
        <v>3693.8120796000007</v>
      </c>
      <c r="H56" s="34">
        <f t="shared" si="21"/>
        <v>3804.6264419880008</v>
      </c>
      <c r="I56" s="34">
        <f t="shared" si="21"/>
        <v>3918.7652352476412</v>
      </c>
    </row>
    <row r="57" spans="1:246" x14ac:dyDescent="0.25">
      <c r="A57" s="61" t="s">
        <v>86</v>
      </c>
      <c r="B57" s="71" t="s">
        <v>87</v>
      </c>
      <c r="C57" s="59" t="s">
        <v>25</v>
      </c>
      <c r="D57" s="34">
        <v>427.15</v>
      </c>
      <c r="E57" s="34">
        <v>193.81</v>
      </c>
      <c r="F57" s="34">
        <f t="shared" si="21"/>
        <v>205.82622000000001</v>
      </c>
      <c r="G57" s="34">
        <f t="shared" si="21"/>
        <v>212.00100660000001</v>
      </c>
      <c r="H57" s="34">
        <f t="shared" si="21"/>
        <v>218.36103679800001</v>
      </c>
      <c r="I57" s="34">
        <f t="shared" si="21"/>
        <v>224.91186790194001</v>
      </c>
    </row>
    <row r="58" spans="1:246" x14ac:dyDescent="0.25">
      <c r="A58" s="57" t="s">
        <v>88</v>
      </c>
      <c r="B58" s="58" t="s">
        <v>89</v>
      </c>
      <c r="C58" s="68" t="s">
        <v>25</v>
      </c>
      <c r="D58" s="60"/>
      <c r="E58" s="60"/>
      <c r="F58" s="34">
        <f t="shared" si="21"/>
        <v>0</v>
      </c>
      <c r="G58" s="60">
        <f t="shared" si="21"/>
        <v>0</v>
      </c>
      <c r="H58" s="60">
        <f t="shared" si="21"/>
        <v>0</v>
      </c>
      <c r="I58" s="72">
        <f t="shared" si="21"/>
        <v>0</v>
      </c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</row>
    <row r="59" spans="1:246" x14ac:dyDescent="0.25">
      <c r="A59" s="57" t="s">
        <v>90</v>
      </c>
      <c r="B59" s="58" t="s">
        <v>91</v>
      </c>
      <c r="C59" s="68" t="s">
        <v>25</v>
      </c>
      <c r="D59" s="60">
        <v>355.64</v>
      </c>
      <c r="E59" s="60">
        <v>462.56</v>
      </c>
      <c r="F59" s="60">
        <f t="shared" si="21"/>
        <v>491.23872</v>
      </c>
      <c r="G59" s="60">
        <f t="shared" si="21"/>
        <v>505.97588160000004</v>
      </c>
      <c r="H59" s="60">
        <f t="shared" si="21"/>
        <v>521.15515804800009</v>
      </c>
      <c r="I59" s="72">
        <f t="shared" si="21"/>
        <v>536.78981278944013</v>
      </c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</row>
    <row r="60" spans="1:246" ht="25.5" x14ac:dyDescent="0.25">
      <c r="A60" s="57" t="s">
        <v>92</v>
      </c>
      <c r="B60" s="58" t="s">
        <v>93</v>
      </c>
      <c r="C60" s="68" t="s">
        <v>25</v>
      </c>
      <c r="D60" s="60">
        <v>8289.7800000000007</v>
      </c>
      <c r="E60" s="60">
        <v>4418.21</v>
      </c>
      <c r="F60" s="60">
        <f t="shared" si="21"/>
        <v>4692.1390200000005</v>
      </c>
      <c r="G60" s="60">
        <f t="shared" si="21"/>
        <v>4832.9031906000009</v>
      </c>
      <c r="H60" s="60">
        <f t="shared" si="21"/>
        <v>4977.890286318001</v>
      </c>
      <c r="I60" s="72">
        <f t="shared" si="21"/>
        <v>5127.2269949075408</v>
      </c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</row>
    <row r="61" spans="1:246" x14ac:dyDescent="0.25">
      <c r="A61" s="61" t="s">
        <v>94</v>
      </c>
      <c r="B61" s="62" t="s">
        <v>95</v>
      </c>
      <c r="C61" s="59" t="s">
        <v>25</v>
      </c>
      <c r="D61" s="34"/>
      <c r="E61" s="34"/>
      <c r="F61" s="34">
        <f t="shared" ref="F61:I71" si="24">E61*F$17</f>
        <v>0</v>
      </c>
      <c r="G61" s="34">
        <f t="shared" si="24"/>
        <v>0</v>
      </c>
      <c r="H61" s="34">
        <f t="shared" si="24"/>
        <v>0</v>
      </c>
      <c r="I61" s="34">
        <f t="shared" si="24"/>
        <v>0</v>
      </c>
    </row>
    <row r="62" spans="1:246" x14ac:dyDescent="0.25">
      <c r="A62" s="61" t="s">
        <v>96</v>
      </c>
      <c r="B62" s="62" t="s">
        <v>97</v>
      </c>
      <c r="C62" s="59" t="s">
        <v>25</v>
      </c>
      <c r="D62" s="34"/>
      <c r="E62" s="34"/>
      <c r="F62" s="34">
        <f t="shared" si="24"/>
        <v>0</v>
      </c>
      <c r="G62" s="34">
        <f t="shared" si="24"/>
        <v>0</v>
      </c>
      <c r="H62" s="34">
        <f t="shared" si="24"/>
        <v>0</v>
      </c>
      <c r="I62" s="34">
        <f t="shared" si="24"/>
        <v>0</v>
      </c>
    </row>
    <row r="63" spans="1:246" x14ac:dyDescent="0.25">
      <c r="A63" s="61" t="s">
        <v>98</v>
      </c>
      <c r="B63" s="62" t="s">
        <v>99</v>
      </c>
      <c r="C63" s="59" t="s">
        <v>25</v>
      </c>
      <c r="D63" s="34"/>
      <c r="E63" s="34"/>
      <c r="F63" s="34">
        <f t="shared" si="24"/>
        <v>0</v>
      </c>
      <c r="G63" s="34">
        <f t="shared" si="24"/>
        <v>0</v>
      </c>
      <c r="H63" s="34">
        <f t="shared" si="24"/>
        <v>0</v>
      </c>
      <c r="I63" s="34">
        <f t="shared" si="24"/>
        <v>0</v>
      </c>
    </row>
    <row r="64" spans="1:246" ht="25.5" x14ac:dyDescent="0.25">
      <c r="A64" s="61" t="s">
        <v>100</v>
      </c>
      <c r="B64" s="62" t="s">
        <v>101</v>
      </c>
      <c r="C64" s="59" t="s">
        <v>25</v>
      </c>
      <c r="D64" s="34"/>
      <c r="E64" s="34"/>
      <c r="F64" s="34">
        <f t="shared" si="24"/>
        <v>0</v>
      </c>
      <c r="G64" s="34">
        <f t="shared" si="24"/>
        <v>0</v>
      </c>
      <c r="H64" s="34">
        <f t="shared" si="24"/>
        <v>0</v>
      </c>
      <c r="I64" s="34">
        <f t="shared" si="24"/>
        <v>0</v>
      </c>
    </row>
    <row r="65" spans="1:246" ht="25.5" x14ac:dyDescent="0.25">
      <c r="A65" s="61" t="s">
        <v>102</v>
      </c>
      <c r="B65" s="62" t="s">
        <v>103</v>
      </c>
      <c r="C65" s="59" t="s">
        <v>25</v>
      </c>
      <c r="D65" s="34"/>
      <c r="E65" s="34"/>
      <c r="F65" s="34">
        <f t="shared" si="24"/>
        <v>0</v>
      </c>
      <c r="G65" s="34">
        <f t="shared" si="24"/>
        <v>0</v>
      </c>
      <c r="H65" s="34">
        <f t="shared" si="24"/>
        <v>0</v>
      </c>
      <c r="I65" s="34">
        <f t="shared" si="24"/>
        <v>0</v>
      </c>
    </row>
    <row r="66" spans="1:246" x14ac:dyDescent="0.25">
      <c r="A66" s="61" t="s">
        <v>104</v>
      </c>
      <c r="B66" s="62" t="s">
        <v>87</v>
      </c>
      <c r="C66" s="59" t="s">
        <v>25</v>
      </c>
      <c r="D66" s="34"/>
      <c r="E66" s="34"/>
      <c r="F66" s="34">
        <f t="shared" si="24"/>
        <v>0</v>
      </c>
      <c r="G66" s="34">
        <f t="shared" si="24"/>
        <v>0</v>
      </c>
      <c r="H66" s="34">
        <f t="shared" si="24"/>
        <v>0</v>
      </c>
      <c r="I66" s="34">
        <f t="shared" si="24"/>
        <v>0</v>
      </c>
    </row>
    <row r="67" spans="1:246" x14ac:dyDescent="0.25">
      <c r="A67" s="57" t="s">
        <v>105</v>
      </c>
      <c r="B67" s="58" t="s">
        <v>106</v>
      </c>
      <c r="C67" s="68" t="s">
        <v>25</v>
      </c>
      <c r="D67" s="60">
        <v>67.55</v>
      </c>
      <c r="E67" s="60">
        <v>35.130000000000003</v>
      </c>
      <c r="F67" s="60">
        <f t="shared" si="24"/>
        <v>37.308060000000005</v>
      </c>
      <c r="G67" s="60">
        <f t="shared" si="24"/>
        <v>38.427301800000009</v>
      </c>
      <c r="H67" s="60">
        <f t="shared" si="24"/>
        <v>39.580120854000008</v>
      </c>
      <c r="I67" s="72">
        <f t="shared" si="24"/>
        <v>40.767524479620008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</row>
    <row r="68" spans="1:246" x14ac:dyDescent="0.25">
      <c r="A68" s="57" t="s">
        <v>107</v>
      </c>
      <c r="B68" s="64" t="s">
        <v>108</v>
      </c>
      <c r="C68" s="68" t="s">
        <v>25</v>
      </c>
      <c r="D68" s="60">
        <v>592.35</v>
      </c>
      <c r="E68" s="60">
        <v>223.22</v>
      </c>
      <c r="F68" s="60">
        <f t="shared" si="24"/>
        <v>237.05964</v>
      </c>
      <c r="G68" s="60">
        <f t="shared" si="24"/>
        <v>244.17142920000001</v>
      </c>
      <c r="H68" s="60">
        <f t="shared" si="24"/>
        <v>251.49657207600001</v>
      </c>
      <c r="I68" s="72">
        <f t="shared" si="24"/>
        <v>259.04146923828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</row>
    <row r="69" spans="1:246" x14ac:dyDescent="0.25">
      <c r="A69" s="57" t="s">
        <v>109</v>
      </c>
      <c r="B69" s="58" t="s">
        <v>110</v>
      </c>
      <c r="C69" s="68" t="s">
        <v>25</v>
      </c>
      <c r="D69" s="60">
        <v>87.31</v>
      </c>
      <c r="E69" s="60">
        <v>240.82</v>
      </c>
      <c r="F69" s="60">
        <f t="shared" ref="F69:I69" si="25">F70+F71</f>
        <v>255.75084000000004</v>
      </c>
      <c r="G69" s="60">
        <f t="shared" si="25"/>
        <v>263.42336520000003</v>
      </c>
      <c r="H69" s="60">
        <f t="shared" si="25"/>
        <v>271.32606615600002</v>
      </c>
      <c r="I69" s="60">
        <f t="shared" si="25"/>
        <v>279.46584814068007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</row>
    <row r="70" spans="1:246" x14ac:dyDescent="0.25">
      <c r="A70" s="61" t="s">
        <v>111</v>
      </c>
      <c r="B70" s="62" t="s">
        <v>112</v>
      </c>
      <c r="C70" s="59" t="s">
        <v>25</v>
      </c>
      <c r="D70" s="34"/>
      <c r="E70" s="34">
        <v>32.07</v>
      </c>
      <c r="F70" s="34">
        <f t="shared" si="24"/>
        <v>34.058340000000001</v>
      </c>
      <c r="G70" s="34">
        <f t="shared" si="24"/>
        <v>35.080090200000001</v>
      </c>
      <c r="H70" s="34">
        <f t="shared" si="24"/>
        <v>36.132492906000003</v>
      </c>
      <c r="I70" s="73">
        <f t="shared" si="24"/>
        <v>37.216467693180007</v>
      </c>
    </row>
    <row r="71" spans="1:246" x14ac:dyDescent="0.25">
      <c r="A71" s="61" t="s">
        <v>113</v>
      </c>
      <c r="B71" s="62" t="s">
        <v>114</v>
      </c>
      <c r="C71" s="59" t="s">
        <v>25</v>
      </c>
      <c r="D71" s="34"/>
      <c r="E71" s="34">
        <v>208.75</v>
      </c>
      <c r="F71" s="34">
        <f t="shared" si="24"/>
        <v>221.69250000000002</v>
      </c>
      <c r="G71" s="34">
        <f t="shared" si="24"/>
        <v>228.34327500000003</v>
      </c>
      <c r="H71" s="34">
        <f t="shared" si="24"/>
        <v>235.19357325000004</v>
      </c>
      <c r="I71" s="73">
        <f t="shared" si="24"/>
        <v>242.24938044750004</v>
      </c>
    </row>
    <row r="72" spans="1:246" x14ac:dyDescent="0.25">
      <c r="A72" s="57" t="s">
        <v>115</v>
      </c>
      <c r="B72" s="58" t="s">
        <v>116</v>
      </c>
      <c r="C72" s="68" t="s">
        <v>25</v>
      </c>
      <c r="D72" s="60"/>
      <c r="E72" s="60">
        <f t="shared" ref="E72:I72" si="26">E73</f>
        <v>0</v>
      </c>
      <c r="F72" s="60">
        <f t="shared" si="26"/>
        <v>0</v>
      </c>
      <c r="G72" s="60">
        <f t="shared" si="26"/>
        <v>0</v>
      </c>
      <c r="H72" s="60">
        <f t="shared" si="26"/>
        <v>0</v>
      </c>
      <c r="I72" s="60">
        <f t="shared" si="26"/>
        <v>0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</row>
    <row r="73" spans="1:246" x14ac:dyDescent="0.25">
      <c r="A73" s="61" t="s">
        <v>117</v>
      </c>
      <c r="B73" s="62" t="s">
        <v>118</v>
      </c>
      <c r="C73" s="59" t="s">
        <v>25</v>
      </c>
      <c r="D73" s="34"/>
      <c r="E73" s="34"/>
      <c r="F73" s="34"/>
      <c r="G73" s="34"/>
      <c r="H73" s="34"/>
      <c r="I73" s="73"/>
    </row>
    <row r="74" spans="1:246" x14ac:dyDescent="0.25">
      <c r="A74" s="74"/>
      <c r="B74" s="58" t="s">
        <v>119</v>
      </c>
      <c r="C74" s="59" t="s">
        <v>25</v>
      </c>
      <c r="D74" s="75">
        <f t="shared" ref="D74:I74" si="27">D24+D27+D37</f>
        <v>284047.39772000001</v>
      </c>
      <c r="E74" s="75">
        <f t="shared" si="27"/>
        <v>131427.46</v>
      </c>
      <c r="F74" s="75">
        <f t="shared" si="27"/>
        <v>139575.96252</v>
      </c>
      <c r="G74" s="75">
        <f t="shared" si="27"/>
        <v>143763.24139559999</v>
      </c>
      <c r="H74" s="75">
        <f t="shared" si="27"/>
        <v>148076.13863746802</v>
      </c>
      <c r="I74" s="75">
        <f t="shared" si="27"/>
        <v>152518.42279659206</v>
      </c>
      <c r="K74" s="6"/>
    </row>
    <row r="75" spans="1:246" ht="15.75" x14ac:dyDescent="0.25">
      <c r="A75" s="76" t="s">
        <v>120</v>
      </c>
      <c r="B75" s="52" t="s">
        <v>121</v>
      </c>
      <c r="C75" s="53"/>
      <c r="D75" s="77"/>
      <c r="E75" s="77"/>
      <c r="F75" s="77"/>
      <c r="G75" s="77"/>
      <c r="H75" s="77"/>
      <c r="I75" s="78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</row>
    <row r="76" spans="1:246" x14ac:dyDescent="0.25">
      <c r="A76" s="57" t="s">
        <v>122</v>
      </c>
      <c r="B76" s="58" t="s">
        <v>123</v>
      </c>
      <c r="C76" s="59" t="s">
        <v>25</v>
      </c>
      <c r="D76" s="60">
        <f t="shared" ref="D76:I76" si="28">D77+D78</f>
        <v>12460.03</v>
      </c>
      <c r="E76" s="60">
        <f t="shared" si="28"/>
        <v>12460.03</v>
      </c>
      <c r="F76" s="60">
        <f t="shared" si="28"/>
        <v>9170.935913514284</v>
      </c>
      <c r="G76" s="60">
        <f t="shared" si="28"/>
        <v>9170.935913514284</v>
      </c>
      <c r="H76" s="60">
        <f t="shared" si="28"/>
        <v>9170.935913514284</v>
      </c>
      <c r="I76" s="60">
        <f t="shared" si="28"/>
        <v>9170.935913514284</v>
      </c>
    </row>
    <row r="77" spans="1:246" x14ac:dyDescent="0.25">
      <c r="A77" s="61" t="s">
        <v>124</v>
      </c>
      <c r="B77" s="62" t="s">
        <v>125</v>
      </c>
      <c r="C77" s="59" t="s">
        <v>25</v>
      </c>
      <c r="D77" s="34">
        <f>9127.03+3333</f>
        <v>12460.03</v>
      </c>
      <c r="E77" s="34">
        <f>9127.03+3333</f>
        <v>12460.03</v>
      </c>
      <c r="F77" s="34">
        <f>'[1]неподконтрольные ээ'!C10/1000</f>
        <v>9170.935913514284</v>
      </c>
      <c r="G77" s="34">
        <f t="shared" ref="G77:I78" si="29">F77</f>
        <v>9170.935913514284</v>
      </c>
      <c r="H77" s="34">
        <f t="shared" si="29"/>
        <v>9170.935913514284</v>
      </c>
      <c r="I77" s="34">
        <f t="shared" si="29"/>
        <v>9170.935913514284</v>
      </c>
    </row>
    <row r="78" spans="1:246" x14ac:dyDescent="0.25">
      <c r="A78" s="61" t="s">
        <v>126</v>
      </c>
      <c r="B78" s="62" t="s">
        <v>127</v>
      </c>
      <c r="C78" s="59" t="s">
        <v>25</v>
      </c>
      <c r="D78" s="34"/>
      <c r="E78" s="34"/>
      <c r="F78" s="34">
        <f>E78</f>
        <v>0</v>
      </c>
      <c r="G78" s="34">
        <f t="shared" si="29"/>
        <v>0</v>
      </c>
      <c r="H78" s="34">
        <f t="shared" si="29"/>
        <v>0</v>
      </c>
      <c r="I78" s="34">
        <f t="shared" si="29"/>
        <v>0</v>
      </c>
    </row>
    <row r="79" spans="1:246" x14ac:dyDescent="0.25">
      <c r="A79" s="57" t="s">
        <v>128</v>
      </c>
      <c r="B79" s="58" t="s">
        <v>129</v>
      </c>
      <c r="C79" s="59" t="s">
        <v>25</v>
      </c>
      <c r="D79" s="60">
        <v>39807.72</v>
      </c>
      <c r="E79" s="60">
        <v>35471</v>
      </c>
      <c r="F79" s="60">
        <f t="shared" ref="F79:I79" si="30">F80+F81</f>
        <v>44902.52549464738</v>
      </c>
      <c r="G79" s="60">
        <f t="shared" si="30"/>
        <v>44902.52549464738</v>
      </c>
      <c r="H79" s="60">
        <f t="shared" si="30"/>
        <v>44902.52549464738</v>
      </c>
      <c r="I79" s="60">
        <f t="shared" si="30"/>
        <v>44902.52549464738</v>
      </c>
    </row>
    <row r="80" spans="1:246" x14ac:dyDescent="0.25">
      <c r="A80" s="61" t="s">
        <v>130</v>
      </c>
      <c r="B80" s="62" t="s">
        <v>131</v>
      </c>
      <c r="C80" s="59" t="s">
        <v>25</v>
      </c>
      <c r="D80" s="34"/>
      <c r="E80" s="34"/>
      <c r="F80" s="34">
        <f>[1]аморт!H2250/1000-F81</f>
        <v>41801.635254647379</v>
      </c>
      <c r="G80" s="34">
        <f t="shared" ref="G80:I81" si="31">F80</f>
        <v>41801.635254647379</v>
      </c>
      <c r="H80" s="34">
        <f t="shared" si="31"/>
        <v>41801.635254647379</v>
      </c>
      <c r="I80" s="34">
        <f t="shared" si="31"/>
        <v>41801.635254647379</v>
      </c>
    </row>
    <row r="81" spans="1:246" x14ac:dyDescent="0.25">
      <c r="A81" s="61" t="s">
        <v>132</v>
      </c>
      <c r="B81" s="62" t="s">
        <v>133</v>
      </c>
      <c r="C81" s="59" t="s">
        <v>25</v>
      </c>
      <c r="D81" s="34"/>
      <c r="E81" s="34"/>
      <c r="F81" s="34">
        <f>[1]аморт!H47/1000</f>
        <v>3100.8902399999997</v>
      </c>
      <c r="G81" s="34">
        <f t="shared" si="31"/>
        <v>3100.8902399999997</v>
      </c>
      <c r="H81" s="34">
        <f t="shared" si="31"/>
        <v>3100.8902399999997</v>
      </c>
      <c r="I81" s="34">
        <f t="shared" si="31"/>
        <v>3100.8902399999997</v>
      </c>
    </row>
    <row r="82" spans="1:246" x14ac:dyDescent="0.25">
      <c r="A82" s="57" t="s">
        <v>134</v>
      </c>
      <c r="B82" s="58" t="s">
        <v>135</v>
      </c>
      <c r="C82" s="59" t="s">
        <v>25</v>
      </c>
      <c r="D82" s="60">
        <f t="shared" ref="D82:I82" si="32">D83+D84+D85+D86</f>
        <v>6886.8700000000008</v>
      </c>
      <c r="E82" s="60">
        <f t="shared" si="32"/>
        <v>2011.0822481641742</v>
      </c>
      <c r="F82" s="60">
        <f t="shared" si="32"/>
        <v>1029.3250238166218</v>
      </c>
      <c r="G82" s="60">
        <f t="shared" si="32"/>
        <v>1029.3250238166218</v>
      </c>
      <c r="H82" s="60">
        <f t="shared" si="32"/>
        <v>1029.3250238166218</v>
      </c>
      <c r="I82" s="60">
        <f t="shared" si="32"/>
        <v>1029.3250238166218</v>
      </c>
    </row>
    <row r="83" spans="1:246" x14ac:dyDescent="0.25">
      <c r="A83" s="61" t="s">
        <v>136</v>
      </c>
      <c r="B83" s="62" t="s">
        <v>137</v>
      </c>
      <c r="C83" s="59" t="s">
        <v>25</v>
      </c>
      <c r="D83" s="34"/>
      <c r="E83" s="34"/>
      <c r="F83" s="34"/>
      <c r="G83" s="34"/>
      <c r="H83" s="34"/>
      <c r="I83" s="73"/>
    </row>
    <row r="84" spans="1:246" x14ac:dyDescent="0.25">
      <c r="A84" s="61" t="s">
        <v>136</v>
      </c>
      <c r="B84" s="62" t="s">
        <v>138</v>
      </c>
      <c r="C84" s="59" t="s">
        <v>25</v>
      </c>
      <c r="D84" s="34">
        <v>566.67999999999995</v>
      </c>
      <c r="E84" s="34">
        <f>'[1]неподконтрольные ээ'!H42/1000</f>
        <v>566.68224816417421</v>
      </c>
      <c r="F84" s="34">
        <f>'[1]неподконтрольные ээ'!H42/1000</f>
        <v>566.68224816417421</v>
      </c>
      <c r="G84" s="34">
        <f t="shared" ref="G84:I86" si="33">F84</f>
        <v>566.68224816417421</v>
      </c>
      <c r="H84" s="34">
        <f t="shared" si="33"/>
        <v>566.68224816417421</v>
      </c>
      <c r="I84" s="34">
        <f t="shared" si="33"/>
        <v>566.68224816417421</v>
      </c>
    </row>
    <row r="85" spans="1:246" x14ac:dyDescent="0.25">
      <c r="A85" s="61" t="s">
        <v>139</v>
      </c>
      <c r="B85" s="62" t="s">
        <v>140</v>
      </c>
      <c r="C85" s="59" t="s">
        <v>25</v>
      </c>
      <c r="D85" s="34">
        <v>6297.64</v>
      </c>
      <c r="E85" s="34">
        <v>1421.85</v>
      </c>
      <c r="F85" s="34">
        <f>'[1]неподконтрольные ээ'!H43/1000</f>
        <v>433.18923941605482</v>
      </c>
      <c r="G85" s="34">
        <f t="shared" si="33"/>
        <v>433.18923941605482</v>
      </c>
      <c r="H85" s="34">
        <f t="shared" si="33"/>
        <v>433.18923941605482</v>
      </c>
      <c r="I85" s="34">
        <f t="shared" si="33"/>
        <v>433.18923941605482</v>
      </c>
    </row>
    <row r="86" spans="1:246" x14ac:dyDescent="0.25">
      <c r="A86" s="61" t="s">
        <v>141</v>
      </c>
      <c r="B86" s="66" t="s">
        <v>142</v>
      </c>
      <c r="C86" s="59" t="s">
        <v>25</v>
      </c>
      <c r="D86" s="34">
        <v>22.55</v>
      </c>
      <c r="E86" s="34">
        <v>22.55</v>
      </c>
      <c r="F86" s="34">
        <f>'[1]неподконтрольные ээ'!H44/1000</f>
        <v>29.453536236392566</v>
      </c>
      <c r="G86" s="34">
        <f t="shared" si="33"/>
        <v>29.453536236392566</v>
      </c>
      <c r="H86" s="34">
        <f t="shared" si="33"/>
        <v>29.453536236392566</v>
      </c>
      <c r="I86" s="34">
        <f t="shared" si="33"/>
        <v>29.453536236392566</v>
      </c>
    </row>
    <row r="87" spans="1:246" x14ac:dyDescent="0.25">
      <c r="A87" s="57" t="s">
        <v>143</v>
      </c>
      <c r="B87" s="79" t="s">
        <v>144</v>
      </c>
      <c r="C87" s="59" t="s">
        <v>25</v>
      </c>
      <c r="D87" s="60">
        <v>37087.370000000003</v>
      </c>
      <c r="E87" s="60">
        <v>37087.370000000003</v>
      </c>
      <c r="F87" s="60">
        <f>(22400*F17)*(F29+F32+F35)*12*0.304/1000+($D27*F17*1000-(22400*F17)*(F29+F32+F35)*12)*(0.11+0.0145+0.0255+0.004)/1000</f>
        <v>38202.433101070565</v>
      </c>
      <c r="G87" s="60">
        <f>(22400*F17*G17)*(G29+G32+G35)*12*0.304/1000+($D27*F17*G17*1000-(22400*F17*G17)*(G29+G32+G35)*12)*(0.11+0.0145+0.0255+0.004)/1000</f>
        <v>39348.506094102675</v>
      </c>
      <c r="H87" s="60">
        <f>(22400*F17*G17*H17)*(H29+H32+H35)*12*0.304/1000+($D27*F17*G17*H17*1000-(22400*F17*G17*H17)*(H29+H32+H35)*12)*(0.11+0.0145+0.0255+0.004)/1000</f>
        <v>40528.961276925766</v>
      </c>
      <c r="I87" s="60">
        <f>(22400*F17*G17*H17*I17)*(I29+I32+I35)*12*0.304/1000+($D27*F17*G17*H17*I17*1000-(22400*F17*G17*H17*I17)*(I29+I32+I35)*12)*(0.11+0.0145+0.0255+0.004)/1000</f>
        <v>41744.830115233541</v>
      </c>
    </row>
    <row r="88" spans="1:246" x14ac:dyDescent="0.25">
      <c r="A88" s="61" t="s">
        <v>145</v>
      </c>
      <c r="B88" s="66" t="s">
        <v>146</v>
      </c>
      <c r="C88" s="59" t="s">
        <v>11</v>
      </c>
      <c r="D88" s="34">
        <f>D87/D27*100</f>
        <v>20.376862124569232</v>
      </c>
      <c r="E88" s="34">
        <f>E87/E27*100</f>
        <v>53.350287527950115</v>
      </c>
      <c r="F88" s="34">
        <f>F87/F27*100</f>
        <v>51.746053652819072</v>
      </c>
      <c r="G88" s="34">
        <f t="shared" ref="G88:I88" si="34">G87/G27*100</f>
        <v>51.746053652819057</v>
      </c>
      <c r="H88" s="34">
        <f t="shared" si="34"/>
        <v>51.746053652819072</v>
      </c>
      <c r="I88" s="34">
        <f t="shared" si="34"/>
        <v>51.746053652819079</v>
      </c>
    </row>
    <row r="89" spans="1:246" x14ac:dyDescent="0.25">
      <c r="A89" s="57" t="s">
        <v>147</v>
      </c>
      <c r="B89" s="58" t="s">
        <v>148</v>
      </c>
      <c r="C89" s="59" t="s">
        <v>25</v>
      </c>
      <c r="D89" s="60"/>
      <c r="E89" s="34"/>
      <c r="F89" s="34"/>
      <c r="G89" s="34"/>
      <c r="H89" s="34"/>
      <c r="I89" s="73"/>
    </row>
    <row r="90" spans="1:246" ht="25.5" outlineLevel="1" x14ac:dyDescent="0.25">
      <c r="A90" s="57" t="s">
        <v>149</v>
      </c>
      <c r="B90" s="58" t="s">
        <v>150</v>
      </c>
      <c r="C90" s="59" t="s">
        <v>25</v>
      </c>
      <c r="D90" s="60"/>
      <c r="E90" s="34"/>
      <c r="F90" s="34"/>
      <c r="G90" s="60"/>
      <c r="H90" s="60"/>
      <c r="I90" s="72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</row>
    <row r="91" spans="1:246" outlineLevel="1" x14ac:dyDescent="0.25">
      <c r="A91" s="57" t="s">
        <v>151</v>
      </c>
      <c r="B91" s="58" t="s">
        <v>152</v>
      </c>
      <c r="C91" s="59" t="s">
        <v>25</v>
      </c>
      <c r="D91" s="75"/>
      <c r="E91" s="34"/>
      <c r="F91" s="34"/>
      <c r="G91" s="60"/>
      <c r="H91" s="60"/>
      <c r="I91" s="72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</row>
    <row r="92" spans="1:246" outlineLevel="1" x14ac:dyDescent="0.25">
      <c r="A92" s="57" t="s">
        <v>153</v>
      </c>
      <c r="B92" s="58" t="s">
        <v>154</v>
      </c>
      <c r="C92" s="59" t="s">
        <v>25</v>
      </c>
      <c r="D92" s="60"/>
      <c r="E92" s="34"/>
      <c r="F92" s="34"/>
      <c r="G92" s="60"/>
      <c r="H92" s="60"/>
      <c r="I92" s="72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</row>
    <row r="93" spans="1:246" x14ac:dyDescent="0.25">
      <c r="A93" s="57" t="s">
        <v>155</v>
      </c>
      <c r="B93" s="58" t="s">
        <v>156</v>
      </c>
      <c r="C93" s="59" t="s">
        <v>25</v>
      </c>
      <c r="D93" s="60"/>
      <c r="E93" s="34"/>
      <c r="F93" s="34">
        <f>E93</f>
        <v>0</v>
      </c>
      <c r="G93" s="34">
        <f t="shared" ref="G93:I93" si="35">F93</f>
        <v>0</v>
      </c>
      <c r="H93" s="34">
        <f t="shared" si="35"/>
        <v>0</v>
      </c>
      <c r="I93" s="34">
        <f t="shared" si="35"/>
        <v>0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</row>
    <row r="94" spans="1:246" outlineLevel="1" x14ac:dyDescent="0.25">
      <c r="A94" s="57" t="s">
        <v>157</v>
      </c>
      <c r="B94" s="58" t="s">
        <v>158</v>
      </c>
      <c r="C94" s="59" t="s">
        <v>25</v>
      </c>
      <c r="D94" s="60"/>
      <c r="E94" s="34"/>
      <c r="F94" s="34"/>
      <c r="G94" s="34"/>
      <c r="H94" s="34"/>
      <c r="I94" s="34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</row>
    <row r="95" spans="1:246" x14ac:dyDescent="0.25">
      <c r="A95" s="57"/>
      <c r="B95" s="58" t="s">
        <v>159</v>
      </c>
      <c r="C95" s="59" t="s">
        <v>25</v>
      </c>
      <c r="D95" s="60">
        <f>D76+D79+D82+D87+D89+D90+D91+D92+D93+D94</f>
        <v>96241.99</v>
      </c>
      <c r="E95" s="60">
        <f>E76+E79+E82+E87+E89+E90+E91+E92+E93+E94</f>
        <v>87029.482248164175</v>
      </c>
      <c r="F95" s="60">
        <f>F76+F79+F82+F87+F89+F90+F91+F92+F93+F94</f>
        <v>93305.219533048847</v>
      </c>
      <c r="G95" s="60">
        <f t="shared" ref="G95:I95" si="36">G76+G79+G82+G87+G89+G90+G91+G92+G93+G94</f>
        <v>94451.292526080957</v>
      </c>
      <c r="H95" s="60">
        <f t="shared" si="36"/>
        <v>95631.747708904048</v>
      </c>
      <c r="I95" s="60">
        <f t="shared" si="36"/>
        <v>96847.61654721183</v>
      </c>
    </row>
    <row r="96" spans="1:246" x14ac:dyDescent="0.25">
      <c r="A96" s="57"/>
      <c r="B96" s="58" t="s">
        <v>160</v>
      </c>
      <c r="C96" s="59" t="s">
        <v>25</v>
      </c>
      <c r="D96" s="60">
        <f t="shared" ref="D96:I96" si="37">D74+D95</f>
        <v>380289.38772</v>
      </c>
      <c r="E96" s="60">
        <f t="shared" si="37"/>
        <v>218456.94224816415</v>
      </c>
      <c r="F96" s="60">
        <f t="shared" si="37"/>
        <v>232881.18205304886</v>
      </c>
      <c r="G96" s="60">
        <f t="shared" si="37"/>
        <v>238214.53392168094</v>
      </c>
      <c r="H96" s="60">
        <f t="shared" si="37"/>
        <v>243707.88634637208</v>
      </c>
      <c r="I96" s="60">
        <f t="shared" si="37"/>
        <v>249366.03934380389</v>
      </c>
      <c r="L96" s="6"/>
    </row>
    <row r="97" spans="1:246" x14ac:dyDescent="0.25">
      <c r="A97" s="80">
        <v>3</v>
      </c>
      <c r="B97" s="67" t="s">
        <v>161</v>
      </c>
      <c r="C97" s="67"/>
      <c r="D97" s="81"/>
      <c r="E97" s="34">
        <f>SUM(E98:E100)</f>
        <v>-5078.9400000000005</v>
      </c>
      <c r="F97" s="34">
        <f>SUM(F98:F100)</f>
        <v>84148.147790776682</v>
      </c>
      <c r="G97" s="34">
        <f t="shared" ref="G97:I97" si="38">SUM(G98:G100)</f>
        <v>0</v>
      </c>
      <c r="H97" s="34">
        <f t="shared" si="38"/>
        <v>0</v>
      </c>
      <c r="I97" s="34">
        <f t="shared" si="38"/>
        <v>0</v>
      </c>
    </row>
    <row r="98" spans="1:246" ht="25.5" x14ac:dyDescent="0.25">
      <c r="A98" s="80"/>
      <c r="B98" s="62" t="s">
        <v>162</v>
      </c>
      <c r="C98" s="59" t="s">
        <v>25</v>
      </c>
      <c r="D98" s="82"/>
      <c r="E98" s="34"/>
      <c r="F98" s="34">
        <v>3496.67</v>
      </c>
      <c r="G98" s="34"/>
      <c r="H98" s="34"/>
      <c r="I98" s="73"/>
    </row>
    <row r="99" spans="1:246" ht="63.75" x14ac:dyDescent="0.25">
      <c r="A99" s="80"/>
      <c r="B99" s="62" t="s">
        <v>163</v>
      </c>
      <c r="C99" s="59" t="s">
        <v>25</v>
      </c>
      <c r="D99" s="34">
        <v>-7096.92</v>
      </c>
      <c r="E99" s="34">
        <v>-7096.92</v>
      </c>
      <c r="F99" s="34">
        <f>'[2]корректировка (МС)'!$F$57</f>
        <v>76370.750674016686</v>
      </c>
      <c r="G99" s="34"/>
      <c r="H99" s="34"/>
      <c r="I99" s="73"/>
    </row>
    <row r="100" spans="1:246" x14ac:dyDescent="0.25">
      <c r="A100" s="80"/>
      <c r="B100" s="62" t="s">
        <v>164</v>
      </c>
      <c r="C100" s="59" t="s">
        <v>25</v>
      </c>
      <c r="D100" s="34">
        <v>2017.98</v>
      </c>
      <c r="E100" s="34">
        <v>2017.98</v>
      </c>
      <c r="F100" s="34">
        <f>'[2]корректировка (МС)'!$F$10</f>
        <v>4280.7271167600011</v>
      </c>
      <c r="G100" s="34"/>
      <c r="H100" s="34"/>
      <c r="I100" s="73"/>
    </row>
    <row r="101" spans="1:246" x14ac:dyDescent="0.25">
      <c r="A101" s="74"/>
      <c r="B101" s="58" t="s">
        <v>165</v>
      </c>
      <c r="C101" s="68" t="s">
        <v>25</v>
      </c>
      <c r="D101" s="75">
        <f t="shared" ref="D101:E101" si="39">D96+D98+D99+D100</f>
        <v>375210.44772</v>
      </c>
      <c r="E101" s="75">
        <f t="shared" si="39"/>
        <v>213378.00224816415</v>
      </c>
      <c r="F101" s="75">
        <f>F96+F97</f>
        <v>317029.32984382554</v>
      </c>
      <c r="G101" s="75">
        <f t="shared" ref="G101:I101" si="40">G96+G98+G99+G100</f>
        <v>238214.53392168094</v>
      </c>
      <c r="H101" s="75">
        <f t="shared" si="40"/>
        <v>243707.88634637208</v>
      </c>
      <c r="I101" s="75">
        <f t="shared" si="40"/>
        <v>249366.03934380389</v>
      </c>
    </row>
    <row r="102" spans="1:246" x14ac:dyDescent="0.25">
      <c r="A102" s="80">
        <v>4</v>
      </c>
      <c r="B102" s="62" t="s">
        <v>166</v>
      </c>
      <c r="C102" s="59" t="s">
        <v>167</v>
      </c>
      <c r="D102" s="83"/>
      <c r="E102" s="34">
        <v>396.62</v>
      </c>
      <c r="F102" s="34">
        <f>'[1]1.4'!J21</f>
        <v>652.95899999999995</v>
      </c>
      <c r="G102" s="34">
        <f t="shared" ref="G102:I104" si="41">F102</f>
        <v>652.95899999999995</v>
      </c>
      <c r="H102" s="34">
        <f t="shared" si="41"/>
        <v>652.95899999999995</v>
      </c>
      <c r="I102" s="34">
        <f t="shared" si="41"/>
        <v>652.95899999999995</v>
      </c>
    </row>
    <row r="103" spans="1:246" x14ac:dyDescent="0.25">
      <c r="A103" s="80"/>
      <c r="B103" s="62" t="s">
        <v>168</v>
      </c>
      <c r="C103" s="84" t="s">
        <v>169</v>
      </c>
      <c r="D103" s="83"/>
      <c r="E103" s="34">
        <v>61.34</v>
      </c>
      <c r="F103" s="34">
        <f>'[1]1.5'!J20</f>
        <v>95.363</v>
      </c>
      <c r="G103" s="34">
        <f t="shared" si="41"/>
        <v>95.363</v>
      </c>
      <c r="H103" s="34">
        <f t="shared" si="41"/>
        <v>95.363</v>
      </c>
      <c r="I103" s="34">
        <f t="shared" si="41"/>
        <v>95.363</v>
      </c>
    </row>
    <row r="104" spans="1:246" x14ac:dyDescent="0.25">
      <c r="A104" s="80">
        <v>5</v>
      </c>
      <c r="B104" s="85" t="s">
        <v>170</v>
      </c>
      <c r="C104" s="59" t="s">
        <v>167</v>
      </c>
      <c r="D104" s="83"/>
      <c r="E104" s="34">
        <v>28.846</v>
      </c>
      <c r="F104" s="34">
        <f>'[1]1.4'!J18</f>
        <v>31.198345000000003</v>
      </c>
      <c r="G104" s="34">
        <f t="shared" si="41"/>
        <v>31.198345000000003</v>
      </c>
      <c r="H104" s="34">
        <f t="shared" si="41"/>
        <v>31.198345000000003</v>
      </c>
      <c r="I104" s="34">
        <f t="shared" si="41"/>
        <v>31.198345000000003</v>
      </c>
    </row>
    <row r="105" spans="1:246" x14ac:dyDescent="0.25">
      <c r="A105" s="80"/>
      <c r="B105" s="58" t="s">
        <v>171</v>
      </c>
      <c r="C105" s="59" t="s">
        <v>172</v>
      </c>
      <c r="D105" s="75"/>
      <c r="E105" s="34">
        <f>E106/E104</f>
        <v>3565.2059210982457</v>
      </c>
      <c r="F105" s="34">
        <f>E105*1.085</f>
        <v>3868.2484243915965</v>
      </c>
      <c r="G105" s="34">
        <f t="shared" ref="G105:I105" si="42">F105*1.042</f>
        <v>4030.7148582160435</v>
      </c>
      <c r="H105" s="34">
        <f t="shared" si="42"/>
        <v>4200.004882261117</v>
      </c>
      <c r="I105" s="34">
        <f t="shared" si="42"/>
        <v>4376.4050873160841</v>
      </c>
    </row>
    <row r="106" spans="1:246" x14ac:dyDescent="0.25">
      <c r="A106" s="80"/>
      <c r="B106" s="58" t="s">
        <v>173</v>
      </c>
      <c r="C106" s="59" t="s">
        <v>25</v>
      </c>
      <c r="D106" s="75">
        <v>102841.93</v>
      </c>
      <c r="E106" s="75">
        <v>102841.93</v>
      </c>
      <c r="F106" s="75">
        <f t="shared" ref="F106:I106" si="43">F104*F105</f>
        <v>120682.94888987545</v>
      </c>
      <c r="G106" s="75">
        <f t="shared" si="43"/>
        <v>125751.63274325021</v>
      </c>
      <c r="H106" s="75">
        <f t="shared" si="43"/>
        <v>131033.20131846672</v>
      </c>
      <c r="I106" s="75">
        <f t="shared" si="43"/>
        <v>136536.59577384233</v>
      </c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</row>
    <row r="107" spans="1:246" x14ac:dyDescent="0.25">
      <c r="A107" s="84"/>
      <c r="B107" s="86" t="s">
        <v>174</v>
      </c>
      <c r="C107" s="59" t="s">
        <v>25</v>
      </c>
      <c r="D107" s="75">
        <f t="shared" ref="D107:I107" si="44">D101+D106</f>
        <v>478052.37771999999</v>
      </c>
      <c r="E107" s="75">
        <f t="shared" si="44"/>
        <v>316219.93224816414</v>
      </c>
      <c r="F107" s="75">
        <f t="shared" si="44"/>
        <v>437712.27873370098</v>
      </c>
      <c r="G107" s="75">
        <f t="shared" si="44"/>
        <v>363966.16666493117</v>
      </c>
      <c r="H107" s="75">
        <f t="shared" si="44"/>
        <v>374741.08766483876</v>
      </c>
      <c r="I107" s="75">
        <f t="shared" si="44"/>
        <v>385902.63511764619</v>
      </c>
    </row>
    <row r="109" spans="1:246" x14ac:dyDescent="0.25">
      <c r="J109" s="6"/>
    </row>
  </sheetData>
  <mergeCells count="12">
    <mergeCell ref="A28:A30"/>
    <mergeCell ref="A31:A33"/>
    <mergeCell ref="A34:A36"/>
    <mergeCell ref="A97:A100"/>
    <mergeCell ref="A102:A103"/>
    <mergeCell ref="A104:A106"/>
    <mergeCell ref="A4:I4"/>
    <mergeCell ref="A6:C6"/>
    <mergeCell ref="A8:I8"/>
    <mergeCell ref="A13:I13"/>
    <mergeCell ref="A19:I19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Колышницына Наталья Владимировна</dc:creator>
  <cp:lastModifiedBy>Колышницына Наталья Владимировна</cp:lastModifiedBy>
  <dcterms:created xsi:type="dcterms:W3CDTF">2025-04-30T07:27:07Z</dcterms:created>
  <dcterms:modified xsi:type="dcterms:W3CDTF">2025-04-30T07:28:51Z</dcterms:modified>
</cp:coreProperties>
</file>